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06\Reports for Distribution\"/>
    </mc:Choice>
  </mc:AlternateContent>
  <xr:revisionPtr revIDLastSave="0" documentId="8_{DA7EEA38-3D22-4E6E-939A-5643681D4D3B}" xr6:coauthVersionLast="36" xr6:coauthVersionMax="36" xr10:uidLastSave="{00000000-0000-0000-0000-000000000000}"/>
  <bookViews>
    <workbookView xWindow="28680" yWindow="-120" windowWidth="29040" windowHeight="15840" tabRatio="912" activeTab="1" xr2:uid="{00000000-000D-0000-FFFF-FFFF00000000}"/>
  </bookViews>
  <sheets>
    <sheet name="Table of Contents" sheetId="185" r:id="rId1"/>
    <sheet name="Schedule 1" sheetId="11" r:id="rId2"/>
    <sheet name="Schedule 1a" sheetId="55" r:id="rId3"/>
    <sheet name="Schedule 1b" sheetId="230" r:id="rId4"/>
    <sheet name="Schedule 2" sheetId="319"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20" r:id="rId17"/>
    <sheet name="Schedule 11 B.1.1" sheetId="321" r:id="rId18"/>
    <sheet name="Schedule 11 D.1.1" sheetId="323"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4'!$A$6:$J$79</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1'!$A$1:$L$76</definedName>
    <definedName name="_xlnm.Print_Area" localSheetId="3">'Schedule 1b'!$A$1:$L$69</definedName>
    <definedName name="_xlnm.Print_Area" localSheetId="6">'Schedule 4'!$A$1:$I$69</definedName>
    <definedName name="_xlnm.Print_Area" localSheetId="7">'Schedule 5'!$A$1:$P$43</definedName>
    <definedName name="_xlnm.Print_Area" localSheetId="8">'Schedule 6'!$A$1:$O$47</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324" l="1"/>
  <c r="A20" i="324"/>
  <c r="G19" i="324"/>
  <c r="G18" i="324"/>
  <c r="G17" i="324"/>
  <c r="G16" i="324"/>
  <c r="G15" i="324"/>
  <c r="G14" i="324"/>
  <c r="G13" i="324"/>
  <c r="G12" i="324"/>
  <c r="G11" i="324"/>
  <c r="G10" i="324"/>
  <c r="A10" i="324"/>
  <c r="A11" i="324" s="1"/>
  <c r="A12" i="324" s="1"/>
  <c r="A13" i="324" s="1"/>
  <c r="A14" i="324" s="1"/>
  <c r="A15" i="324" s="1"/>
  <c r="A16" i="324" s="1"/>
  <c r="A17" i="324" s="1"/>
  <c r="A18" i="324" s="1"/>
  <c r="G9" i="324"/>
  <c r="A9" i="324"/>
  <c r="G8" i="324"/>
  <c r="AZ30" i="321" l="1"/>
  <c r="AT55" i="321"/>
  <c r="BS54" i="321"/>
  <c r="AY54" i="321"/>
  <c r="AX54" i="321"/>
  <c r="AW54" i="321"/>
  <c r="AV54" i="321"/>
  <c r="AU54" i="321"/>
  <c r="AT54" i="321"/>
  <c r="AQ54" i="321"/>
  <c r="AP54" i="321"/>
  <c r="AO54" i="321"/>
  <c r="AN54" i="321"/>
  <c r="AM54" i="321"/>
  <c r="AL54" i="321"/>
  <c r="AK54" i="321"/>
  <c r="AJ54" i="321"/>
  <c r="AI54" i="321"/>
  <c r="AH54" i="321"/>
  <c r="AG54" i="321"/>
  <c r="AF54" i="321"/>
  <c r="AC54" i="321"/>
  <c r="AB54" i="321"/>
  <c r="AA54" i="321"/>
  <c r="Z54" i="321"/>
  <c r="Y54" i="321"/>
  <c r="X54" i="321"/>
  <c r="W54" i="321"/>
  <c r="V54" i="321"/>
  <c r="U54" i="321"/>
  <c r="T54" i="321"/>
  <c r="S54" i="321"/>
  <c r="R54" i="321"/>
  <c r="BS52" i="321"/>
  <c r="AS52" i="321"/>
  <c r="AS54" i="321" s="1"/>
  <c r="AE52" i="321"/>
  <c r="AE54" i="321" s="1"/>
  <c r="BS49" i="321"/>
  <c r="BI49" i="321"/>
  <c r="BJ49" i="321" s="1"/>
  <c r="BK49" i="321" s="1"/>
  <c r="BL49" i="321" s="1"/>
  <c r="BM49" i="321" s="1"/>
  <c r="BN49" i="321" s="1"/>
  <c r="BO49" i="321" s="1"/>
  <c r="BP49" i="321" s="1"/>
  <c r="BQ49" i="321" s="1"/>
  <c r="BR49" i="321" s="1"/>
  <c r="BH49" i="321"/>
  <c r="BG49" i="321"/>
  <c r="BF49" i="321"/>
  <c r="AY49" i="321"/>
  <c r="AX49" i="321"/>
  <c r="AW49" i="321"/>
  <c r="AV49" i="321"/>
  <c r="AZ49" i="321" s="1"/>
  <c r="BA49" i="321" s="1"/>
  <c r="BB49" i="321" s="1"/>
  <c r="BC49" i="321" s="1"/>
  <c r="BD49" i="321" s="1"/>
  <c r="BE49" i="321" s="1"/>
  <c r="AU49" i="321"/>
  <c r="AS49" i="321"/>
  <c r="AQ49" i="321"/>
  <c r="AP49" i="321"/>
  <c r="AO49" i="321"/>
  <c r="AN49" i="321"/>
  <c r="AM49" i="321"/>
  <c r="AL49" i="321"/>
  <c r="AK49" i="321"/>
  <c r="AJ49" i="321"/>
  <c r="AI49" i="321"/>
  <c r="AH49" i="321"/>
  <c r="AG49" i="321"/>
  <c r="AF49" i="321"/>
  <c r="AE49" i="321"/>
  <c r="AD49" i="321" s="1"/>
  <c r="AC49" i="321"/>
  <c r="AB49" i="321"/>
  <c r="AA49" i="321"/>
  <c r="Z49" i="321"/>
  <c r="Y49" i="321"/>
  <c r="X49" i="321"/>
  <c r="W49" i="321"/>
  <c r="V49" i="321"/>
  <c r="U49" i="321"/>
  <c r="T49" i="321"/>
  <c r="S49" i="321"/>
  <c r="R49" i="321"/>
  <c r="Q49" i="321"/>
  <c r="O49" i="321"/>
  <c r="N49" i="321"/>
  <c r="M49" i="321"/>
  <c r="L49" i="321"/>
  <c r="K49" i="321"/>
  <c r="J49" i="321"/>
  <c r="I49" i="321"/>
  <c r="H49" i="321"/>
  <c r="G49" i="321"/>
  <c r="F49" i="321"/>
  <c r="BM48" i="321"/>
  <c r="BN48" i="321" s="1"/>
  <c r="BO48" i="321" s="1"/>
  <c r="BP48" i="321" s="1"/>
  <c r="BQ48" i="321" s="1"/>
  <c r="BR48" i="321" s="1"/>
  <c r="BG48" i="321"/>
  <c r="BH48" i="321" s="1"/>
  <c r="BI48" i="321" s="1"/>
  <c r="BJ48" i="321" s="1"/>
  <c r="BK48" i="321" s="1"/>
  <c r="BL48" i="321" s="1"/>
  <c r="BD48" i="321"/>
  <c r="BE48" i="321" s="1"/>
  <c r="AZ48" i="321"/>
  <c r="BA48" i="321" s="1"/>
  <c r="BB48" i="321" s="1"/>
  <c r="BC48" i="321" s="1"/>
  <c r="AR48" i="321"/>
  <c r="AD48" i="321"/>
  <c r="P48" i="321"/>
  <c r="BG47" i="321"/>
  <c r="BH47" i="321" s="1"/>
  <c r="BI47" i="321" s="1"/>
  <c r="BJ47" i="321" s="1"/>
  <c r="BK47" i="321" s="1"/>
  <c r="BL47" i="321" s="1"/>
  <c r="BM47" i="321" s="1"/>
  <c r="BN47" i="321" s="1"/>
  <c r="BO47" i="321" s="1"/>
  <c r="BP47" i="321" s="1"/>
  <c r="BQ47" i="321" s="1"/>
  <c r="BR47" i="321" s="1"/>
  <c r="BE47" i="321"/>
  <c r="BA47" i="321"/>
  <c r="BB47" i="321" s="1"/>
  <c r="BC47" i="321" s="1"/>
  <c r="BD47" i="321" s="1"/>
  <c r="AZ47" i="321"/>
  <c r="AR47" i="321"/>
  <c r="AD47" i="321"/>
  <c r="P47" i="321"/>
  <c r="E49" i="321"/>
  <c r="BS46" i="321"/>
  <c r="BP46" i="321"/>
  <c r="BQ46" i="321" s="1"/>
  <c r="BR46" i="321" s="1"/>
  <c r="BI46" i="321"/>
  <c r="BJ46" i="321" s="1"/>
  <c r="BK46" i="321" s="1"/>
  <c r="BL46" i="321" s="1"/>
  <c r="BM46" i="321" s="1"/>
  <c r="BN46" i="321" s="1"/>
  <c r="BO46" i="321" s="1"/>
  <c r="BH46" i="321"/>
  <c r="BG46" i="321"/>
  <c r="BF46" i="321"/>
  <c r="AT46" i="321"/>
  <c r="AS46" i="321"/>
  <c r="AF46" i="321"/>
  <c r="AE46" i="321"/>
  <c r="R46" i="321"/>
  <c r="Q46" i="321"/>
  <c r="Q50" i="321" s="1"/>
  <c r="F46" i="321"/>
  <c r="E46" i="321"/>
  <c r="D46" i="321"/>
  <c r="BO45" i="321"/>
  <c r="BP45" i="321" s="1"/>
  <c r="BQ45" i="321" s="1"/>
  <c r="BR45" i="321" s="1"/>
  <c r="BG45" i="321"/>
  <c r="BH45" i="321" s="1"/>
  <c r="BI45" i="321" s="1"/>
  <c r="BJ45" i="321" s="1"/>
  <c r="BK45" i="321" s="1"/>
  <c r="BL45" i="321" s="1"/>
  <c r="BM45" i="321" s="1"/>
  <c r="BN45" i="321" s="1"/>
  <c r="AZ45" i="321"/>
  <c r="BA45" i="321" s="1"/>
  <c r="BB45" i="321" s="1"/>
  <c r="BC45" i="321" s="1"/>
  <c r="BD45" i="321" s="1"/>
  <c r="BE45" i="321" s="1"/>
  <c r="AR45" i="321"/>
  <c r="AD45" i="321"/>
  <c r="P45" i="321"/>
  <c r="BL44" i="321"/>
  <c r="BM44" i="321" s="1"/>
  <c r="BN44" i="321" s="1"/>
  <c r="BO44" i="321" s="1"/>
  <c r="BP44" i="321" s="1"/>
  <c r="BQ44" i="321" s="1"/>
  <c r="BR44" i="321" s="1"/>
  <c r="BH44" i="321"/>
  <c r="BI44" i="321" s="1"/>
  <c r="BJ44" i="321" s="1"/>
  <c r="BK44" i="321" s="1"/>
  <c r="BG44" i="321"/>
  <c r="AZ44" i="321"/>
  <c r="BA44" i="321" s="1"/>
  <c r="BB44" i="321" s="1"/>
  <c r="BC44" i="321" s="1"/>
  <c r="BD44" i="321" s="1"/>
  <c r="BE44" i="321" s="1"/>
  <c r="AR44" i="321"/>
  <c r="AD44" i="321"/>
  <c r="F44" i="321"/>
  <c r="BL43" i="321"/>
  <c r="BM43" i="321" s="1"/>
  <c r="BN43" i="321" s="1"/>
  <c r="BO43" i="321" s="1"/>
  <c r="BP43" i="321" s="1"/>
  <c r="BQ43" i="321" s="1"/>
  <c r="BR43" i="321" s="1"/>
  <c r="BG43" i="321"/>
  <c r="BH43" i="321" s="1"/>
  <c r="BI43" i="321" s="1"/>
  <c r="BJ43" i="321" s="1"/>
  <c r="BK43" i="321" s="1"/>
  <c r="AY43" i="321"/>
  <c r="AV43" i="321"/>
  <c r="AR43" i="321"/>
  <c r="T43" i="321"/>
  <c r="S43" i="321"/>
  <c r="P43" i="321"/>
  <c r="BJ42" i="321"/>
  <c r="BK42" i="321" s="1"/>
  <c r="BL42" i="321" s="1"/>
  <c r="BM42" i="321" s="1"/>
  <c r="BN42" i="321" s="1"/>
  <c r="BO42" i="321" s="1"/>
  <c r="BP42" i="321" s="1"/>
  <c r="BQ42" i="321" s="1"/>
  <c r="BR42" i="321" s="1"/>
  <c r="BG42" i="321"/>
  <c r="BH42" i="321" s="1"/>
  <c r="BI42" i="321" s="1"/>
  <c r="AZ42" i="321"/>
  <c r="BA42" i="321" s="1"/>
  <c r="BB42" i="321" s="1"/>
  <c r="BC42" i="321" s="1"/>
  <c r="BD42" i="321" s="1"/>
  <c r="BE42" i="321" s="1"/>
  <c r="AR42" i="321"/>
  <c r="AD42" i="321"/>
  <c r="P42" i="321"/>
  <c r="BR41" i="321"/>
  <c r="BI41" i="321"/>
  <c r="BJ41" i="321" s="1"/>
  <c r="BK41" i="321" s="1"/>
  <c r="BL41" i="321" s="1"/>
  <c r="BM41" i="321" s="1"/>
  <c r="BN41" i="321" s="1"/>
  <c r="BO41" i="321" s="1"/>
  <c r="BP41" i="321" s="1"/>
  <c r="BQ41" i="321" s="1"/>
  <c r="BH41" i="321"/>
  <c r="BG41" i="321"/>
  <c r="BC41" i="321"/>
  <c r="BD41" i="321" s="1"/>
  <c r="BE41" i="321" s="1"/>
  <c r="AZ41" i="321"/>
  <c r="BA41" i="321" s="1"/>
  <c r="BB41" i="321" s="1"/>
  <c r="AR41" i="321"/>
  <c r="AD41" i="321"/>
  <c r="P41" i="321"/>
  <c r="BI40" i="321"/>
  <c r="BJ40" i="321" s="1"/>
  <c r="BK40" i="321" s="1"/>
  <c r="BL40" i="321" s="1"/>
  <c r="BM40" i="321" s="1"/>
  <c r="BN40" i="321" s="1"/>
  <c r="BO40" i="321" s="1"/>
  <c r="BP40" i="321" s="1"/>
  <c r="BQ40" i="321" s="1"/>
  <c r="BR40" i="321" s="1"/>
  <c r="BG40" i="321"/>
  <c r="BH40" i="321" s="1"/>
  <c r="AV40" i="321"/>
  <c r="AU40" i="321"/>
  <c r="AU46" i="321" s="1"/>
  <c r="AI40" i="321"/>
  <c r="AH40" i="321"/>
  <c r="S40" i="321"/>
  <c r="F40" i="321"/>
  <c r="BL39" i="321"/>
  <c r="BM39" i="321" s="1"/>
  <c r="BN39" i="321" s="1"/>
  <c r="BO39" i="321" s="1"/>
  <c r="BP39" i="321" s="1"/>
  <c r="BQ39" i="321" s="1"/>
  <c r="BR39" i="321" s="1"/>
  <c r="BG39" i="321"/>
  <c r="BH39" i="321" s="1"/>
  <c r="BI39" i="321" s="1"/>
  <c r="BJ39" i="321" s="1"/>
  <c r="BK39" i="321" s="1"/>
  <c r="AZ39" i="321"/>
  <c r="BA39" i="321" s="1"/>
  <c r="BB39" i="321" s="1"/>
  <c r="BC39" i="321" s="1"/>
  <c r="BD39" i="321" s="1"/>
  <c r="BE39" i="321" s="1"/>
  <c r="AR39" i="321"/>
  <c r="AD39" i="321"/>
  <c r="P39" i="321"/>
  <c r="BH38" i="321"/>
  <c r="BI38" i="321" s="1"/>
  <c r="BJ38" i="321" s="1"/>
  <c r="BK38" i="321" s="1"/>
  <c r="BL38" i="321" s="1"/>
  <c r="BM38" i="321" s="1"/>
  <c r="BN38" i="321" s="1"/>
  <c r="BO38" i="321" s="1"/>
  <c r="BP38" i="321" s="1"/>
  <c r="BQ38" i="321" s="1"/>
  <c r="BR38" i="321" s="1"/>
  <c r="BG38" i="321"/>
  <c r="AZ38" i="321"/>
  <c r="BA38" i="321" s="1"/>
  <c r="BB38" i="321" s="1"/>
  <c r="BC38" i="321" s="1"/>
  <c r="BD38" i="321" s="1"/>
  <c r="BE38" i="321" s="1"/>
  <c r="AR38" i="321"/>
  <c r="AD38" i="321"/>
  <c r="P38" i="321"/>
  <c r="BJ37" i="321"/>
  <c r="BK37" i="321" s="1"/>
  <c r="BL37" i="321" s="1"/>
  <c r="BM37" i="321" s="1"/>
  <c r="BN37" i="321" s="1"/>
  <c r="BO37" i="321" s="1"/>
  <c r="BP37" i="321" s="1"/>
  <c r="BQ37" i="321" s="1"/>
  <c r="BR37" i="321" s="1"/>
  <c r="BG37" i="321"/>
  <c r="BH37" i="321" s="1"/>
  <c r="BI37" i="321" s="1"/>
  <c r="AV37" i="321"/>
  <c r="AR37" i="321"/>
  <c r="AD37" i="321"/>
  <c r="BG36" i="321"/>
  <c r="BH36" i="321" s="1"/>
  <c r="BI36" i="321" s="1"/>
  <c r="BJ36" i="321" s="1"/>
  <c r="BK36" i="321" s="1"/>
  <c r="BL36" i="321" s="1"/>
  <c r="BM36" i="321" s="1"/>
  <c r="BN36" i="321" s="1"/>
  <c r="BO36" i="321" s="1"/>
  <c r="BP36" i="321" s="1"/>
  <c r="BQ36" i="321" s="1"/>
  <c r="BR36" i="321" s="1"/>
  <c r="BD36" i="321"/>
  <c r="BE36" i="321" s="1"/>
  <c r="AZ36" i="321"/>
  <c r="BA36" i="321" s="1"/>
  <c r="BB36" i="321" s="1"/>
  <c r="BC36" i="321" s="1"/>
  <c r="AR36" i="321"/>
  <c r="AD36" i="321"/>
  <c r="P36" i="321"/>
  <c r="AZ35" i="321"/>
  <c r="BA35" i="321" s="1"/>
  <c r="BB35" i="321" s="1"/>
  <c r="BC35" i="321" s="1"/>
  <c r="BD35" i="321" s="1"/>
  <c r="BE35" i="321" s="1"/>
  <c r="BG34" i="321"/>
  <c r="BH34" i="321" s="1"/>
  <c r="BI34" i="321" s="1"/>
  <c r="BJ34" i="321" s="1"/>
  <c r="BK34" i="321" s="1"/>
  <c r="BL34" i="321" s="1"/>
  <c r="BM34" i="321" s="1"/>
  <c r="BN34" i="321" s="1"/>
  <c r="BO34" i="321" s="1"/>
  <c r="BP34" i="321" s="1"/>
  <c r="BQ34" i="321" s="1"/>
  <c r="BR34" i="321" s="1"/>
  <c r="BE34" i="321"/>
  <c r="BA34" i="321"/>
  <c r="BB34" i="321" s="1"/>
  <c r="BC34" i="321" s="1"/>
  <c r="BD34" i="321" s="1"/>
  <c r="AZ34" i="321"/>
  <c r="AG34" i="321"/>
  <c r="X34" i="321"/>
  <c r="U34" i="321"/>
  <c r="P34" i="321"/>
  <c r="BH33" i="321"/>
  <c r="BI33" i="321" s="1"/>
  <c r="BJ33" i="321" s="1"/>
  <c r="BK33" i="321" s="1"/>
  <c r="BL33" i="321" s="1"/>
  <c r="BM33" i="321" s="1"/>
  <c r="BN33" i="321" s="1"/>
  <c r="BO33" i="321" s="1"/>
  <c r="BP33" i="321" s="1"/>
  <c r="BQ33" i="321" s="1"/>
  <c r="BR33" i="321" s="1"/>
  <c r="BG33" i="321"/>
  <c r="AZ33" i="321"/>
  <c r="BA33" i="321" s="1"/>
  <c r="BB33" i="321" s="1"/>
  <c r="BC33" i="321" s="1"/>
  <c r="BD33" i="321" s="1"/>
  <c r="BE33" i="321" s="1"/>
  <c r="AR33" i="321"/>
  <c r="AD33" i="321"/>
  <c r="P33" i="321"/>
  <c r="BM32" i="321"/>
  <c r="BN32" i="321" s="1"/>
  <c r="BO32" i="321" s="1"/>
  <c r="BP32" i="321" s="1"/>
  <c r="BQ32" i="321" s="1"/>
  <c r="BR32" i="321" s="1"/>
  <c r="BI32" i="321"/>
  <c r="BJ32" i="321" s="1"/>
  <c r="BK32" i="321" s="1"/>
  <c r="BL32" i="321" s="1"/>
  <c r="BG32" i="321"/>
  <c r="BH32" i="321" s="1"/>
  <c r="BD32" i="321"/>
  <c r="BE32" i="321" s="1"/>
  <c r="BA32" i="321"/>
  <c r="BB32" i="321" s="1"/>
  <c r="BC32" i="321" s="1"/>
  <c r="AZ32" i="321"/>
  <c r="AR32" i="321"/>
  <c r="AD32" i="321"/>
  <c r="P32" i="321"/>
  <c r="BG31" i="321"/>
  <c r="BH31" i="321" s="1"/>
  <c r="BI31" i="321" s="1"/>
  <c r="BJ31" i="321" s="1"/>
  <c r="BK31" i="321" s="1"/>
  <c r="BL31" i="321" s="1"/>
  <c r="BM31" i="321" s="1"/>
  <c r="BN31" i="321" s="1"/>
  <c r="BO31" i="321" s="1"/>
  <c r="BP31" i="321" s="1"/>
  <c r="BQ31" i="321" s="1"/>
  <c r="BR31" i="321" s="1"/>
  <c r="BE31" i="321"/>
  <c r="BB31" i="321"/>
  <c r="BC31" i="321" s="1"/>
  <c r="BD31" i="321" s="1"/>
  <c r="BA31" i="321"/>
  <c r="AZ31" i="321"/>
  <c r="AR31" i="321"/>
  <c r="AD31" i="321"/>
  <c r="P31" i="321"/>
  <c r="BG30" i="321"/>
  <c r="BH30" i="321" s="1"/>
  <c r="BI30" i="321" s="1"/>
  <c r="BJ30" i="321" s="1"/>
  <c r="BK30" i="321" s="1"/>
  <c r="BL30" i="321" s="1"/>
  <c r="BM30" i="321" s="1"/>
  <c r="BN30" i="321" s="1"/>
  <c r="BO30" i="321" s="1"/>
  <c r="BP30" i="321" s="1"/>
  <c r="BQ30" i="321" s="1"/>
  <c r="BR30" i="321" s="1"/>
  <c r="BA30" i="321"/>
  <c r="BB30" i="321" s="1"/>
  <c r="BC30" i="321" s="1"/>
  <c r="BD30" i="321" s="1"/>
  <c r="BE30" i="321" s="1"/>
  <c r="AR30" i="321"/>
  <c r="AD30" i="321"/>
  <c r="P30" i="321"/>
  <c r="BH29" i="321"/>
  <c r="BI29" i="321" s="1"/>
  <c r="BJ29" i="321" s="1"/>
  <c r="BK29" i="321" s="1"/>
  <c r="BL29" i="321" s="1"/>
  <c r="BM29" i="321" s="1"/>
  <c r="BN29" i="321" s="1"/>
  <c r="BO29" i="321" s="1"/>
  <c r="BP29" i="321" s="1"/>
  <c r="BQ29" i="321" s="1"/>
  <c r="BR29" i="321" s="1"/>
  <c r="BG29" i="321"/>
  <c r="AZ29" i="321"/>
  <c r="BA29" i="321" s="1"/>
  <c r="BB29" i="321" s="1"/>
  <c r="BC29" i="321" s="1"/>
  <c r="BD29" i="321" s="1"/>
  <c r="BE29" i="321" s="1"/>
  <c r="AR29" i="321"/>
  <c r="AD29" i="321"/>
  <c r="P29" i="321"/>
  <c r="BS28" i="321"/>
  <c r="BS50" i="321" s="1"/>
  <c r="BG50" i="321" s="1"/>
  <c r="BH50" i="321" s="1"/>
  <c r="BI50" i="321" s="1"/>
  <c r="BJ50" i="321" s="1"/>
  <c r="BK50" i="321" s="1"/>
  <c r="BL50" i="321" s="1"/>
  <c r="BM50" i="321" s="1"/>
  <c r="BN50" i="321" s="1"/>
  <c r="BO50" i="321" s="1"/>
  <c r="BP50" i="321" s="1"/>
  <c r="BQ50" i="321" s="1"/>
  <c r="BR50" i="321" s="1"/>
  <c r="BF28" i="321"/>
  <c r="AY28" i="321"/>
  <c r="AX28" i="321"/>
  <c r="AW28" i="321"/>
  <c r="AV28" i="321"/>
  <c r="AU28" i="321"/>
  <c r="AU50" i="321" s="1"/>
  <c r="AT28" i="321"/>
  <c r="AT50" i="321" s="1"/>
  <c r="AS28" i="321"/>
  <c r="AS50" i="321" s="1"/>
  <c r="AQ28" i="321"/>
  <c r="AP28" i="321"/>
  <c r="AO28" i="321"/>
  <c r="AN28" i="321"/>
  <c r="AM28" i="321"/>
  <c r="AL28" i="321"/>
  <c r="AK28" i="321"/>
  <c r="AJ28" i="321"/>
  <c r="AI28" i="321"/>
  <c r="AH28" i="321"/>
  <c r="AG28" i="321"/>
  <c r="AF28" i="321"/>
  <c r="AE28" i="321"/>
  <c r="AE50" i="321" s="1"/>
  <c r="AC28" i="321"/>
  <c r="AB28" i="321"/>
  <c r="AA28" i="321"/>
  <c r="Z28" i="321"/>
  <c r="Y28" i="321"/>
  <c r="X28" i="321"/>
  <c r="W28" i="321"/>
  <c r="V28" i="321"/>
  <c r="T28" i="321"/>
  <c r="S28" i="321"/>
  <c r="R28" i="321"/>
  <c r="Q28" i="321"/>
  <c r="O28" i="321"/>
  <c r="N28" i="321"/>
  <c r="M28" i="321"/>
  <c r="L28" i="321"/>
  <c r="K28" i="321"/>
  <c r="J28" i="321"/>
  <c r="I28" i="321"/>
  <c r="H28" i="321"/>
  <c r="G28" i="321"/>
  <c r="F28" i="321"/>
  <c r="E28" i="321"/>
  <c r="D28" i="321"/>
  <c r="BI27" i="321"/>
  <c r="BJ27" i="321" s="1"/>
  <c r="BK27" i="321" s="1"/>
  <c r="BL27" i="321" s="1"/>
  <c r="BM27" i="321" s="1"/>
  <c r="BN27" i="321" s="1"/>
  <c r="BO27" i="321" s="1"/>
  <c r="BP27" i="321" s="1"/>
  <c r="BQ27" i="321" s="1"/>
  <c r="BR27" i="321" s="1"/>
  <c r="BH27" i="321"/>
  <c r="BG27" i="321"/>
  <c r="BD27" i="321"/>
  <c r="BE27" i="321" s="1"/>
  <c r="BA27" i="321"/>
  <c r="BB27" i="321" s="1"/>
  <c r="BC27" i="321" s="1"/>
  <c r="AZ27" i="321"/>
  <c r="AR27" i="321"/>
  <c r="AD27" i="321"/>
  <c r="P27" i="321"/>
  <c r="BG26" i="321"/>
  <c r="BH26" i="321" s="1"/>
  <c r="BI26" i="321" s="1"/>
  <c r="BJ26" i="321" s="1"/>
  <c r="BK26" i="321" s="1"/>
  <c r="BL26" i="321" s="1"/>
  <c r="BM26" i="321" s="1"/>
  <c r="BN26" i="321" s="1"/>
  <c r="BO26" i="321" s="1"/>
  <c r="BP26" i="321" s="1"/>
  <c r="BQ26" i="321" s="1"/>
  <c r="BR26" i="321" s="1"/>
  <c r="BE26" i="321"/>
  <c r="BB26" i="321"/>
  <c r="BC26" i="321" s="1"/>
  <c r="BD26" i="321" s="1"/>
  <c r="BA26" i="321"/>
  <c r="AZ26" i="321"/>
  <c r="AR26" i="321"/>
  <c r="AD26" i="321"/>
  <c r="W26" i="321"/>
  <c r="U26" i="321"/>
  <c r="U28" i="321" s="1"/>
  <c r="P26" i="321"/>
  <c r="AJ23" i="321"/>
  <c r="AJ22" i="321"/>
  <c r="BS21" i="321"/>
  <c r="BS55" i="321" s="1"/>
  <c r="AX21" i="321"/>
  <c r="AX55" i="321" s="1"/>
  <c r="AV21" i="321"/>
  <c r="AV55" i="321" s="1"/>
  <c r="AQ21" i="321"/>
  <c r="AQ55" i="321" s="1"/>
  <c r="AE21" i="321"/>
  <c r="AE55" i="321" s="1"/>
  <c r="T21" i="321"/>
  <c r="T55" i="321" s="1"/>
  <c r="O21" i="321"/>
  <c r="L21" i="321"/>
  <c r="BG20" i="321"/>
  <c r="BH20" i="321" s="1"/>
  <c r="BI20" i="321" s="1"/>
  <c r="BJ20" i="321" s="1"/>
  <c r="BK20" i="321" s="1"/>
  <c r="BL20" i="321" s="1"/>
  <c r="BM20" i="321" s="1"/>
  <c r="BN20" i="321" s="1"/>
  <c r="BO20" i="321" s="1"/>
  <c r="BP20" i="321" s="1"/>
  <c r="BQ20" i="321" s="1"/>
  <c r="BR20" i="321" s="1"/>
  <c r="BC20" i="321"/>
  <c r="BD20" i="321" s="1"/>
  <c r="BE20" i="321" s="1"/>
  <c r="BB20" i="321"/>
  <c r="BA20" i="321"/>
  <c r="AZ20" i="321"/>
  <c r="AD20" i="321"/>
  <c r="P20" i="321"/>
  <c r="BG19" i="321"/>
  <c r="BH19" i="321" s="1"/>
  <c r="BI19" i="321" s="1"/>
  <c r="BJ19" i="321" s="1"/>
  <c r="BK19" i="321" s="1"/>
  <c r="BL19" i="321" s="1"/>
  <c r="BM19" i="321" s="1"/>
  <c r="BN19" i="321" s="1"/>
  <c r="BO19" i="321" s="1"/>
  <c r="BP19" i="321" s="1"/>
  <c r="BQ19" i="321" s="1"/>
  <c r="BR19" i="321" s="1"/>
  <c r="BC19" i="321"/>
  <c r="BD19" i="321" s="1"/>
  <c r="BE19" i="321" s="1"/>
  <c r="BB19" i="321"/>
  <c r="BA19" i="321"/>
  <c r="AZ19" i="321"/>
  <c r="AR19" i="321"/>
  <c r="AD19" i="321"/>
  <c r="P19" i="321"/>
  <c r="BI18" i="321"/>
  <c r="BJ18" i="321" s="1"/>
  <c r="BK18" i="321" s="1"/>
  <c r="BL18" i="321" s="1"/>
  <c r="BM18" i="321" s="1"/>
  <c r="BN18" i="321" s="1"/>
  <c r="BO18" i="321" s="1"/>
  <c r="BP18" i="321" s="1"/>
  <c r="BQ18" i="321" s="1"/>
  <c r="BR18" i="321" s="1"/>
  <c r="BH18" i="321"/>
  <c r="BG18" i="321"/>
  <c r="BC18" i="321"/>
  <c r="BD18" i="321" s="1"/>
  <c r="BE18" i="321" s="1"/>
  <c r="AZ18" i="321"/>
  <c r="BA18" i="321" s="1"/>
  <c r="BB18" i="321" s="1"/>
  <c r="AW18" i="321"/>
  <c r="AW21" i="321" s="1"/>
  <c r="AW55" i="321" s="1"/>
  <c r="AV18" i="321"/>
  <c r="AU18" i="321"/>
  <c r="AS18" i="321"/>
  <c r="AR18" i="321" s="1"/>
  <c r="AQ18" i="321"/>
  <c r="AC18" i="321"/>
  <c r="S18" i="321"/>
  <c r="S21" i="321" s="1"/>
  <c r="S55" i="321" s="1"/>
  <c r="Q18" i="321"/>
  <c r="P18" i="321" s="1"/>
  <c r="BI17" i="321"/>
  <c r="BJ17" i="321" s="1"/>
  <c r="BK17" i="321" s="1"/>
  <c r="BL17" i="321" s="1"/>
  <c r="BM17" i="321" s="1"/>
  <c r="BN17" i="321" s="1"/>
  <c r="BO17" i="321" s="1"/>
  <c r="BP17" i="321" s="1"/>
  <c r="BQ17" i="321" s="1"/>
  <c r="BR17" i="321" s="1"/>
  <c r="BH17" i="321"/>
  <c r="BG17" i="321"/>
  <c r="BF17" i="321"/>
  <c r="AY17" i="321"/>
  <c r="AY21" i="321" s="1"/>
  <c r="AY55" i="321" s="1"/>
  <c r="AS17" i="321"/>
  <c r="AS21" i="321" s="1"/>
  <c r="AS55" i="321" s="1"/>
  <c r="AP17" i="321"/>
  <c r="AO17" i="321"/>
  <c r="AN17" i="321"/>
  <c r="AN21" i="321" s="1"/>
  <c r="AN55" i="321" s="1"/>
  <c r="AM17" i="321"/>
  <c r="AL17" i="321"/>
  <c r="AL21" i="321" s="1"/>
  <c r="AL55" i="321" s="1"/>
  <c r="AK17" i="321"/>
  <c r="AJ17" i="321"/>
  <c r="AI17" i="321"/>
  <c r="AH17" i="321"/>
  <c r="AG17" i="321"/>
  <c r="AG21" i="321" s="1"/>
  <c r="AG55" i="321" s="1"/>
  <c r="AF17" i="321"/>
  <c r="AF21" i="321" s="1"/>
  <c r="AF55" i="321" s="1"/>
  <c r="AE17" i="321"/>
  <c r="AC17" i="321"/>
  <c r="AB17" i="321"/>
  <c r="AA17" i="321"/>
  <c r="Z17" i="321"/>
  <c r="Y17" i="321"/>
  <c r="X17" i="321"/>
  <c r="W17" i="321"/>
  <c r="W21" i="321" s="1"/>
  <c r="W55" i="321" s="1"/>
  <c r="V17" i="321"/>
  <c r="V21" i="321" s="1"/>
  <c r="V55" i="321" s="1"/>
  <c r="U17" i="321"/>
  <c r="T17" i="321"/>
  <c r="R17" i="321"/>
  <c r="R21" i="321" s="1"/>
  <c r="R55" i="321" s="1"/>
  <c r="Q17" i="321"/>
  <c r="Q21" i="321" s="1"/>
  <c r="O17" i="321"/>
  <c r="N17" i="321"/>
  <c r="N21" i="321" s="1"/>
  <c r="M17" i="321"/>
  <c r="M21" i="321" s="1"/>
  <c r="L17" i="321"/>
  <c r="K17" i="321"/>
  <c r="K21" i="321" s="1"/>
  <c r="BG16" i="321"/>
  <c r="BH16" i="321" s="1"/>
  <c r="BI16" i="321" s="1"/>
  <c r="BJ16" i="321" s="1"/>
  <c r="BK16" i="321" s="1"/>
  <c r="BL16" i="321" s="1"/>
  <c r="BM16" i="321" s="1"/>
  <c r="BN16" i="321" s="1"/>
  <c r="BO16" i="321" s="1"/>
  <c r="BP16" i="321" s="1"/>
  <c r="BQ16" i="321" s="1"/>
  <c r="BR16" i="321" s="1"/>
  <c r="BE16" i="321"/>
  <c r="BB16" i="321"/>
  <c r="BC16" i="321" s="1"/>
  <c r="BD16" i="321" s="1"/>
  <c r="BA16" i="321"/>
  <c r="AZ16" i="321"/>
  <c r="AR16" i="321"/>
  <c r="AD16" i="321"/>
  <c r="P16" i="321"/>
  <c r="BH15" i="321"/>
  <c r="BI15" i="321" s="1"/>
  <c r="BJ15" i="321" s="1"/>
  <c r="BK15" i="321" s="1"/>
  <c r="BL15" i="321" s="1"/>
  <c r="BM15" i="321" s="1"/>
  <c r="BN15" i="321" s="1"/>
  <c r="BO15" i="321" s="1"/>
  <c r="BP15" i="321" s="1"/>
  <c r="BQ15" i="321" s="1"/>
  <c r="BR15" i="321" s="1"/>
  <c r="BG15" i="321"/>
  <c r="BC15" i="321"/>
  <c r="BD15" i="321" s="1"/>
  <c r="BE15" i="321" s="1"/>
  <c r="BB15" i="321"/>
  <c r="BA15" i="321"/>
  <c r="AZ15" i="321"/>
  <c r="AR15" i="321"/>
  <c r="AD15" i="321"/>
  <c r="P15" i="321"/>
  <c r="BL14" i="321"/>
  <c r="BM14" i="321" s="1"/>
  <c r="BN14" i="321" s="1"/>
  <c r="BO14" i="321" s="1"/>
  <c r="BP14" i="321" s="1"/>
  <c r="BQ14" i="321" s="1"/>
  <c r="BR14" i="321" s="1"/>
  <c r="BI14" i="321"/>
  <c r="BJ14" i="321" s="1"/>
  <c r="BK14" i="321" s="1"/>
  <c r="BH14" i="321"/>
  <c r="BG14" i="321"/>
  <c r="BD14" i="321"/>
  <c r="BE14" i="321" s="1"/>
  <c r="BC14" i="321"/>
  <c r="AZ14" i="321"/>
  <c r="BA14" i="321" s="1"/>
  <c r="BB14" i="321" s="1"/>
  <c r="AV14" i="321"/>
  <c r="AR14" i="321"/>
  <c r="AD14" i="321"/>
  <c r="P14" i="321"/>
  <c r="BG13" i="321"/>
  <c r="BH13" i="321" s="1"/>
  <c r="BI13" i="321" s="1"/>
  <c r="BJ13" i="321" s="1"/>
  <c r="BK13" i="321" s="1"/>
  <c r="BL13" i="321" s="1"/>
  <c r="BM13" i="321" s="1"/>
  <c r="BN13" i="321" s="1"/>
  <c r="BO13" i="321" s="1"/>
  <c r="BP13" i="321" s="1"/>
  <c r="BQ13" i="321" s="1"/>
  <c r="BR13" i="321" s="1"/>
  <c r="BE13" i="321"/>
  <c r="BB13" i="321"/>
  <c r="BC13" i="321" s="1"/>
  <c r="BD13" i="321" s="1"/>
  <c r="BA13" i="321"/>
  <c r="AZ13" i="321"/>
  <c r="AU13" i="321"/>
  <c r="AU21" i="321" s="1"/>
  <c r="AU55" i="321" s="1"/>
  <c r="AR13" i="321"/>
  <c r="AD13" i="321"/>
  <c r="P13" i="321"/>
  <c r="BL12" i="321"/>
  <c r="BM12" i="321" s="1"/>
  <c r="BN12" i="321" s="1"/>
  <c r="BO12" i="321" s="1"/>
  <c r="BP12" i="321" s="1"/>
  <c r="BQ12" i="321" s="1"/>
  <c r="BR12" i="321" s="1"/>
  <c r="BI12" i="321"/>
  <c r="BJ12" i="321" s="1"/>
  <c r="BK12" i="321" s="1"/>
  <c r="BH12" i="321"/>
  <c r="BG12" i="321"/>
  <c r="BD12" i="321"/>
  <c r="BE12" i="321" s="1"/>
  <c r="BC12" i="321"/>
  <c r="AZ12" i="321"/>
  <c r="BA12" i="321" s="1"/>
  <c r="BB12" i="321" s="1"/>
  <c r="AR12" i="321"/>
  <c r="AD12" i="321"/>
  <c r="P12" i="321"/>
  <c r="BN11" i="321"/>
  <c r="BO11" i="321" s="1"/>
  <c r="BP11" i="321" s="1"/>
  <c r="BQ11" i="321" s="1"/>
  <c r="BR11" i="321" s="1"/>
  <c r="BM11" i="321"/>
  <c r="BJ11" i="321"/>
  <c r="BK11" i="321" s="1"/>
  <c r="BL11" i="321" s="1"/>
  <c r="BI11" i="321"/>
  <c r="BH11" i="321"/>
  <c r="BG11" i="321"/>
  <c r="BA11" i="321"/>
  <c r="BB11" i="321" s="1"/>
  <c r="BC11" i="321" s="1"/>
  <c r="BD11" i="321" s="1"/>
  <c r="BE11" i="321" s="1"/>
  <c r="AZ11" i="321"/>
  <c r="AI11" i="321"/>
  <c r="AI21" i="321" s="1"/>
  <c r="AI55" i="321" s="1"/>
  <c r="AH11" i="321"/>
  <c r="AH21" i="321" s="1"/>
  <c r="AH55" i="321" s="1"/>
  <c r="AF11" i="321"/>
  <c r="X11" i="321"/>
  <c r="X21" i="321" s="1"/>
  <c r="X55" i="321" s="1"/>
  <c r="W11" i="321"/>
  <c r="U11" i="321"/>
  <c r="T11" i="321"/>
  <c r="P11" i="321"/>
  <c r="BJ10" i="321"/>
  <c r="BK10" i="321" s="1"/>
  <c r="BL10" i="321" s="1"/>
  <c r="BM10" i="321" s="1"/>
  <c r="BN10" i="321" s="1"/>
  <c r="BO10" i="321" s="1"/>
  <c r="BP10" i="321" s="1"/>
  <c r="BQ10" i="321" s="1"/>
  <c r="BR10" i="321" s="1"/>
  <c r="BI10" i="321"/>
  <c r="BG10" i="321"/>
  <c r="BH10" i="321" s="1"/>
  <c r="BD10" i="321"/>
  <c r="BE10" i="321" s="1"/>
  <c r="BB10" i="321"/>
  <c r="BC10" i="321" s="1"/>
  <c r="BA10" i="321"/>
  <c r="AZ10" i="321"/>
  <c r="AR10" i="321"/>
  <c r="AD10" i="321"/>
  <c r="P10" i="321"/>
  <c r="BK9" i="321"/>
  <c r="BL9" i="321" s="1"/>
  <c r="BM9" i="321" s="1"/>
  <c r="BN9" i="321" s="1"/>
  <c r="BO9" i="321" s="1"/>
  <c r="BP9" i="321" s="1"/>
  <c r="BQ9" i="321" s="1"/>
  <c r="BR9" i="321" s="1"/>
  <c r="BJ9" i="321"/>
  <c r="BH9" i="321"/>
  <c r="BI9" i="321" s="1"/>
  <c r="BG9" i="321"/>
  <c r="BE9" i="321"/>
  <c r="BC9" i="321"/>
  <c r="BD9" i="321" s="1"/>
  <c r="BB9" i="321"/>
  <c r="BA9" i="321"/>
  <c r="AZ9" i="321"/>
  <c r="AR9" i="321"/>
  <c r="AD9" i="321"/>
  <c r="P9" i="321"/>
  <c r="BI8" i="321"/>
  <c r="BI54" i="321" s="1"/>
  <c r="BH8" i="321"/>
  <c r="BH54" i="321" s="1"/>
  <c r="BG8" i="321"/>
  <c r="AZ8" i="321"/>
  <c r="AZ54" i="321" s="1"/>
  <c r="AR8" i="321"/>
  <c r="AD8" i="321"/>
  <c r="P8" i="321"/>
  <c r="P21" i="321" l="1"/>
  <c r="S46" i="321"/>
  <c r="S50" i="321" s="1"/>
  <c r="T40" i="321"/>
  <c r="T46" i="321" s="1"/>
  <c r="T50" i="321" s="1"/>
  <c r="BA8" i="321"/>
  <c r="BJ8" i="321"/>
  <c r="Z11" i="321"/>
  <c r="Z21" i="321" s="1"/>
  <c r="Z55" i="321" s="1"/>
  <c r="U21" i="321"/>
  <c r="U55" i="321" s="1"/>
  <c r="AZ17" i="321"/>
  <c r="BA17" i="321" s="1"/>
  <c r="BB17" i="321" s="1"/>
  <c r="BC17" i="321" s="1"/>
  <c r="BD17" i="321" s="1"/>
  <c r="BE17" i="321" s="1"/>
  <c r="BF21" i="321"/>
  <c r="AZ21" i="321" s="1"/>
  <c r="AG50" i="321"/>
  <c r="BF50" i="321"/>
  <c r="AZ28" i="321"/>
  <c r="BA28" i="321" s="1"/>
  <c r="BB28" i="321" s="1"/>
  <c r="BC28" i="321" s="1"/>
  <c r="BD28" i="321" s="1"/>
  <c r="BE28" i="321" s="1"/>
  <c r="AW37" i="321"/>
  <c r="AV46" i="321"/>
  <c r="AZ37" i="321"/>
  <c r="BA37" i="321" s="1"/>
  <c r="BB37" i="321" s="1"/>
  <c r="BC37" i="321" s="1"/>
  <c r="BD37" i="321" s="1"/>
  <c r="BE37" i="321" s="1"/>
  <c r="V34" i="321"/>
  <c r="BG54" i="321"/>
  <c r="BG21" i="321"/>
  <c r="AC21" i="321"/>
  <c r="AC55" i="321" s="1"/>
  <c r="P28" i="321"/>
  <c r="AD28" i="321"/>
  <c r="BG28" i="321"/>
  <c r="BH28" i="321" s="1"/>
  <c r="BI28" i="321" s="1"/>
  <c r="BJ28" i="321" s="1"/>
  <c r="BK28" i="321" s="1"/>
  <c r="BL28" i="321" s="1"/>
  <c r="BM28" i="321" s="1"/>
  <c r="BN28" i="321" s="1"/>
  <c r="BO28" i="321" s="1"/>
  <c r="BP28" i="321" s="1"/>
  <c r="BQ28" i="321" s="1"/>
  <c r="BR28" i="321" s="1"/>
  <c r="AY40" i="321"/>
  <c r="AY46" i="321" s="1"/>
  <c r="AY50" i="321" s="1"/>
  <c r="AW40" i="321"/>
  <c r="AZ40" i="321" s="1"/>
  <c r="BA40" i="321" s="1"/>
  <c r="BB40" i="321" s="1"/>
  <c r="BC40" i="321" s="1"/>
  <c r="BD40" i="321" s="1"/>
  <c r="BE40" i="321" s="1"/>
  <c r="AD17" i="321"/>
  <c r="AR17" i="321"/>
  <c r="AD18" i="321"/>
  <c r="AG46" i="321"/>
  <c r="AI34" i="321"/>
  <c r="AI46" i="321" s="1"/>
  <c r="AI50" i="321" s="1"/>
  <c r="AH34" i="321"/>
  <c r="AL40" i="321"/>
  <c r="AM40" i="321" s="1"/>
  <c r="R50" i="321"/>
  <c r="Y11" i="321"/>
  <c r="AJ11" i="321"/>
  <c r="AJ21" i="321" s="1"/>
  <c r="AJ55" i="321" s="1"/>
  <c r="P17" i="321"/>
  <c r="AR28" i="321"/>
  <c r="G40" i="321"/>
  <c r="AJ40" i="321"/>
  <c r="V43" i="321"/>
  <c r="U43" i="321"/>
  <c r="AW43" i="321"/>
  <c r="AX43" i="321"/>
  <c r="AX46" i="321" s="1"/>
  <c r="AX50" i="321" s="1"/>
  <c r="D50" i="321"/>
  <c r="E50" i="321"/>
  <c r="P49" i="321"/>
  <c r="F50" i="321"/>
  <c r="AK11" i="321"/>
  <c r="AK21" i="321" s="1"/>
  <c r="AK55" i="321" s="1"/>
  <c r="H40" i="321"/>
  <c r="G44" i="321"/>
  <c r="H44" i="321" s="1"/>
  <c r="AF50" i="321"/>
  <c r="AR49" i="321"/>
  <c r="I44" i="321" l="1"/>
  <c r="W43" i="321"/>
  <c r="Y43" i="321" s="1"/>
  <c r="AZ43" i="321"/>
  <c r="BA43" i="321" s="1"/>
  <c r="BB43" i="321" s="1"/>
  <c r="BC43" i="321" s="1"/>
  <c r="BD43" i="321" s="1"/>
  <c r="BE43" i="321" s="1"/>
  <c r="G46" i="321"/>
  <c r="I40" i="321"/>
  <c r="I46" i="321" s="1"/>
  <c r="I50" i="321" s="1"/>
  <c r="AH46" i="321"/>
  <c r="Z34" i="321"/>
  <c r="BG55" i="321"/>
  <c r="BH21" i="321"/>
  <c r="AW46" i="321"/>
  <c r="AW50" i="321" s="1"/>
  <c r="AM11" i="321"/>
  <c r="BJ54" i="321"/>
  <c r="BK8" i="321"/>
  <c r="H46" i="321"/>
  <c r="H50" i="321" s="1"/>
  <c r="AV50" i="321"/>
  <c r="AZ50" i="321" s="1"/>
  <c r="BA50" i="321" s="1"/>
  <c r="BB50" i="321" s="1"/>
  <c r="BC50" i="321" s="1"/>
  <c r="BD50" i="321" s="1"/>
  <c r="BE50" i="321" s="1"/>
  <c r="W34" i="321"/>
  <c r="AB34" i="321" s="1"/>
  <c r="BA54" i="321"/>
  <c r="BB8" i="321"/>
  <c r="V40" i="321"/>
  <c r="V46" i="321" s="1"/>
  <c r="V50" i="321" s="1"/>
  <c r="U40" i="321"/>
  <c r="U46" i="321" s="1"/>
  <c r="U50" i="321" s="1"/>
  <c r="J44" i="321"/>
  <c r="AN40" i="321"/>
  <c r="Y21" i="321"/>
  <c r="Y55" i="321" s="1"/>
  <c r="AA11" i="321"/>
  <c r="AA21" i="321" s="1"/>
  <c r="AA55" i="321" s="1"/>
  <c r="AP40" i="321"/>
  <c r="AP46" i="321" s="1"/>
  <c r="AP50" i="321" s="1"/>
  <c r="AJ34" i="321"/>
  <c r="AJ46" i="321" s="1"/>
  <c r="AJ50" i="321" s="1"/>
  <c r="AO11" i="321"/>
  <c r="AO21" i="321" s="1"/>
  <c r="AO55" i="321" s="1"/>
  <c r="AZ55" i="321"/>
  <c r="BA21" i="321"/>
  <c r="Y46" i="321" l="1"/>
  <c r="Y50" i="321" s="1"/>
  <c r="Z43" i="321"/>
  <c r="AA43" i="321" s="1"/>
  <c r="AD34" i="321"/>
  <c r="BL8" i="321"/>
  <c r="BK54" i="321"/>
  <c r="J40" i="321"/>
  <c r="J46" i="321" s="1"/>
  <c r="J50" i="321" s="1"/>
  <c r="K44" i="321"/>
  <c r="BB54" i="321"/>
  <c r="BC8" i="321"/>
  <c r="AQ40" i="321"/>
  <c r="AR40" i="321" s="1"/>
  <c r="G50" i="321"/>
  <c r="AB11" i="321"/>
  <c r="AB21" i="321" s="1"/>
  <c r="AB55" i="321" s="1"/>
  <c r="AC34" i="321"/>
  <c r="W40" i="321"/>
  <c r="AM21" i="321"/>
  <c r="AM55" i="321" s="1"/>
  <c r="BH55" i="321"/>
  <c r="BI21" i="321"/>
  <c r="AK34" i="321"/>
  <c r="AP11" i="321"/>
  <c r="AP21" i="321" s="1"/>
  <c r="AP55" i="321" s="1"/>
  <c r="AZ46" i="321"/>
  <c r="BA46" i="321" s="1"/>
  <c r="BB46" i="321" s="1"/>
  <c r="BC46" i="321" s="1"/>
  <c r="BD46" i="321" s="1"/>
  <c r="BE46" i="321" s="1"/>
  <c r="BA55" i="321"/>
  <c r="BB21" i="321"/>
  <c r="K40" i="321"/>
  <c r="K46" i="321" s="1"/>
  <c r="K50" i="321" s="1"/>
  <c r="W46" i="321"/>
  <c r="W50" i="321" s="1"/>
  <c r="AH50" i="321"/>
  <c r="X40" i="321"/>
  <c r="X46" i="321" s="1"/>
  <c r="X50" i="321" s="1"/>
  <c r="BC54" i="321" l="1"/>
  <c r="BD8" i="321"/>
  <c r="BI55" i="321"/>
  <c r="BJ21" i="321"/>
  <c r="AD11" i="321"/>
  <c r="AD21" i="321" s="1"/>
  <c r="Z40" i="321"/>
  <c r="Z46" i="321" s="1"/>
  <c r="Z50" i="321" s="1"/>
  <c r="BL54" i="321"/>
  <c r="BM8" i="321"/>
  <c r="AC43" i="321"/>
  <c r="AC46" i="321" s="1"/>
  <c r="AC50" i="321" s="1"/>
  <c r="AK46" i="321"/>
  <c r="L44" i="321"/>
  <c r="M44" i="321"/>
  <c r="L40" i="321"/>
  <c r="L46" i="321" s="1"/>
  <c r="L50" i="321" s="1"/>
  <c r="BB55" i="321"/>
  <c r="BC21" i="321"/>
  <c r="AR11" i="321"/>
  <c r="AR21" i="321" s="1"/>
  <c r="AL34" i="321"/>
  <c r="AL46" i="321" s="1"/>
  <c r="AL50" i="321" s="1"/>
  <c r="BJ55" i="321" l="1"/>
  <c r="BK21" i="321"/>
  <c r="AK50" i="321"/>
  <c r="AD40" i="321"/>
  <c r="AM34" i="321"/>
  <c r="AM46" i="321" s="1"/>
  <c r="AM50" i="321" s="1"/>
  <c r="BM54" i="321"/>
  <c r="BN8" i="321"/>
  <c r="AA40" i="321"/>
  <c r="AA46" i="321" s="1"/>
  <c r="AA50" i="321" s="1"/>
  <c r="M40" i="321"/>
  <c r="M46" i="321" s="1"/>
  <c r="M50" i="321" s="1"/>
  <c r="BC55" i="321"/>
  <c r="BD21" i="321"/>
  <c r="BD55" i="321" s="1"/>
  <c r="P40" i="321"/>
  <c r="AD46" i="321"/>
  <c r="AN34" i="321"/>
  <c r="AN46" i="321" s="1"/>
  <c r="AN50" i="321" s="1"/>
  <c r="AD43" i="321"/>
  <c r="AB40" i="321"/>
  <c r="AB46" i="321" s="1"/>
  <c r="AB50" i="321" s="1"/>
  <c r="AO34" i="321"/>
  <c r="AO46" i="321" s="1"/>
  <c r="AO50" i="321" s="1"/>
  <c r="BD54" i="321"/>
  <c r="BE8" i="321"/>
  <c r="N44" i="321"/>
  <c r="N46" i="321" s="1"/>
  <c r="N50" i="321" s="1"/>
  <c r="BN54" i="321" l="1"/>
  <c r="BO8" i="321"/>
  <c r="BK55" i="321"/>
  <c r="BL21" i="321"/>
  <c r="AQ34" i="321"/>
  <c r="AQ46" i="321" s="1"/>
  <c r="AQ50" i="321" s="1"/>
  <c r="AR50" i="321" s="1"/>
  <c r="BE54" i="321"/>
  <c r="BE21" i="321"/>
  <c r="BE55" i="321" s="1"/>
  <c r="O44" i="321"/>
  <c r="O46" i="321" s="1"/>
  <c r="O50" i="321" s="1"/>
  <c r="P50" i="321" s="1"/>
  <c r="P44" i="321" l="1"/>
  <c r="BL55" i="321"/>
  <c r="BM21" i="321"/>
  <c r="AR46" i="321"/>
  <c r="P46" i="321"/>
  <c r="AR34" i="321"/>
  <c r="BO54" i="321"/>
  <c r="BP8" i="321"/>
  <c r="BP54" i="321" l="1"/>
  <c r="BQ8" i="321"/>
  <c r="BM55" i="321"/>
  <c r="BN21" i="321"/>
  <c r="BN55" i="321" l="1"/>
  <c r="BO21" i="321"/>
  <c r="BQ54" i="321"/>
  <c r="BR8" i="321"/>
  <c r="BR54" i="321" s="1"/>
  <c r="BO55" i="321" l="1"/>
  <c r="BP21" i="321"/>
  <c r="BP55" i="321" l="1"/>
  <c r="BQ21" i="321"/>
  <c r="BQ55" i="321" l="1"/>
  <c r="BR21" i="321"/>
  <c r="BR55" i="321" s="1"/>
  <c r="K21" i="12" l="1"/>
  <c r="K28" i="12"/>
  <c r="K32" i="12"/>
  <c r="K37" i="12"/>
  <c r="K39" i="12"/>
  <c r="K41" i="12"/>
  <c r="K43" i="12" l="1"/>
  <c r="I27" i="14"/>
  <c r="D27" i="14"/>
  <c r="AD15" i="55" l="1"/>
  <c r="AD16" i="55"/>
  <c r="AD17" i="55"/>
  <c r="D47" i="14" l="1"/>
  <c r="J47" i="14" s="1"/>
  <c r="I47" i="14"/>
  <c r="E67" i="14"/>
  <c r="E61" i="14"/>
  <c r="E17" i="14"/>
  <c r="E19" i="14" s="1"/>
  <c r="E13" i="14"/>
  <c r="E69" i="14" l="1"/>
  <c r="E52" i="230" l="1"/>
  <c r="E39" i="230"/>
  <c r="E33" i="230"/>
  <c r="E28" i="230"/>
  <c r="E20" i="230"/>
  <c r="E7" i="230"/>
  <c r="E57" i="11"/>
  <c r="E42" i="11"/>
  <c r="E39" i="11"/>
  <c r="E33" i="11"/>
  <c r="E28" i="11"/>
  <c r="E20" i="11"/>
  <c r="E44" i="230" l="1"/>
  <c r="E49" i="11"/>
  <c r="C20" i="230"/>
  <c r="C61" i="14" l="1"/>
  <c r="L41" i="12" l="1"/>
  <c r="M21" i="12"/>
  <c r="K42" i="17"/>
  <c r="D41" i="12"/>
  <c r="L37" i="17"/>
  <c r="M41" i="12"/>
  <c r="F41" i="12"/>
  <c r="O41" i="12"/>
  <c r="G42" i="17"/>
  <c r="C41" i="12"/>
  <c r="F42" i="17"/>
  <c r="L28" i="17"/>
  <c r="I41" i="12"/>
  <c r="D55" i="14"/>
  <c r="N40" i="12"/>
  <c r="N41" i="12" s="1"/>
  <c r="E41" i="12"/>
  <c r="N42" i="17"/>
  <c r="G41" i="12"/>
  <c r="J41" i="12"/>
  <c r="L32" i="17"/>
  <c r="E42" i="17"/>
  <c r="M41" i="17"/>
  <c r="M42" i="17" s="1"/>
  <c r="M32" i="12"/>
  <c r="M28" i="12"/>
  <c r="AD7" i="55"/>
  <c r="H42" i="17"/>
  <c r="M39" i="12"/>
  <c r="I55" i="14"/>
  <c r="C42" i="17"/>
  <c r="M37" i="12"/>
  <c r="H41" i="12"/>
  <c r="L21" i="17"/>
  <c r="D42" i="17"/>
  <c r="J42" i="17"/>
  <c r="AD11" i="55"/>
  <c r="I42" i="17"/>
  <c r="D60" i="14"/>
  <c r="I60" i="14"/>
  <c r="C46" i="11"/>
  <c r="M45" i="11"/>
  <c r="M43" i="12" l="1"/>
  <c r="P40" i="12"/>
  <c r="P41" i="12" s="1"/>
  <c r="O41" i="17"/>
  <c r="O42" i="17" s="1"/>
  <c r="L43" i="17"/>
  <c r="AC20" i="55"/>
  <c r="AC24" i="55" s="1"/>
  <c r="K46" i="11"/>
  <c r="D44" i="11"/>
  <c r="D46" i="11" s="1"/>
  <c r="G46" i="11"/>
  <c r="L44" i="11"/>
  <c r="L46" i="11" s="1"/>
  <c r="I46" i="11"/>
  <c r="J46" i="11"/>
  <c r="M46" i="11" l="1"/>
  <c r="M44" i="11"/>
  <c r="C42" i="11"/>
  <c r="C39" i="11"/>
  <c r="C33" i="11"/>
  <c r="C28" i="11"/>
  <c r="C7" i="11"/>
  <c r="C20" i="11"/>
  <c r="C49" i="11" l="1"/>
  <c r="E22" i="18" l="1"/>
  <c r="E24" i="18" s="1"/>
  <c r="N20" i="18"/>
  <c r="N19" i="18"/>
  <c r="N18" i="18"/>
  <c r="N16" i="18"/>
  <c r="E15" i="18" l="1"/>
  <c r="E17" i="18" s="1"/>
  <c r="C15" i="18"/>
  <c r="K15" i="18"/>
  <c r="A3" i="230" l="1"/>
  <c r="O16" i="105" l="1"/>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I23" i="93"/>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8" i="14"/>
  <c r="J62" i="14"/>
  <c r="J20" i="14"/>
  <c r="J18" i="14"/>
  <c r="J16" i="14"/>
  <c r="C17" i="14"/>
  <c r="J14" i="14"/>
  <c r="J12" i="14"/>
  <c r="A3" i="14"/>
  <c r="B23" i="93"/>
  <c r="N21" i="93"/>
  <c r="N20" i="93"/>
  <c r="N19" i="93"/>
  <c r="N18" i="93"/>
  <c r="N17" i="93"/>
  <c r="N16" i="93"/>
  <c r="N15" i="93"/>
  <c r="N14" i="93"/>
  <c r="N13" i="93"/>
  <c r="N12" i="93"/>
  <c r="N11" i="93"/>
  <c r="N10" i="93"/>
  <c r="N9"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7" i="14"/>
  <c r="C30" i="105"/>
  <c r="H9" i="105"/>
  <c r="G30" i="105"/>
  <c r="F9" i="106"/>
  <c r="E16" i="106"/>
  <c r="E20" i="106" s="1"/>
  <c r="E23" i="106" s="1"/>
  <c r="F30" i="105"/>
  <c r="N23" i="93"/>
  <c r="E30" i="105"/>
  <c r="E27" i="104"/>
  <c r="D25" i="106" l="1"/>
  <c r="G24" i="18"/>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D25" i="14" l="1"/>
  <c r="J25" i="14" s="1"/>
  <c r="M8" i="17"/>
  <c r="M9" i="17" s="1"/>
  <c r="E9" i="17"/>
  <c r="G13" i="14"/>
  <c r="I8" i="14"/>
  <c r="I35" i="14"/>
  <c r="K20" i="11"/>
  <c r="L26" i="11"/>
  <c r="L16" i="11"/>
  <c r="L37" i="12"/>
  <c r="N34" i="12"/>
  <c r="J39" i="17"/>
  <c r="D37" i="230"/>
  <c r="M37" i="230" s="1"/>
  <c r="K21" i="17"/>
  <c r="I65" i="14"/>
  <c r="M29" i="17"/>
  <c r="E32" i="17"/>
  <c r="D35" i="14"/>
  <c r="J35" i="14" s="1"/>
  <c r="D17" i="230"/>
  <c r="M17" i="230" s="1"/>
  <c r="G33" i="230"/>
  <c r="D29" i="230"/>
  <c r="X20" i="55"/>
  <c r="X24" i="55" s="1"/>
  <c r="S20" i="55"/>
  <c r="S24" i="55" s="1"/>
  <c r="D34" i="11"/>
  <c r="M34" i="11" s="1"/>
  <c r="G39" i="11"/>
  <c r="N21" i="17"/>
  <c r="O20" i="55"/>
  <c r="O24" i="55" s="1"/>
  <c r="L9" i="230"/>
  <c r="I39" i="14"/>
  <c r="N20" i="12"/>
  <c r="P20" i="12" s="1"/>
  <c r="D38" i="14"/>
  <c r="J38" i="14" s="1"/>
  <c r="L21" i="11"/>
  <c r="I28" i="11"/>
  <c r="L15" i="18"/>
  <c r="L17" i="18" s="1"/>
  <c r="N31" i="12"/>
  <c r="P31" i="12" s="1"/>
  <c r="L10" i="230"/>
  <c r="D15" i="230"/>
  <c r="M15" i="230" s="1"/>
  <c r="D30" i="14"/>
  <c r="J30" i="14" s="1"/>
  <c r="R20" i="55"/>
  <c r="R24" i="55" s="1"/>
  <c r="D29" i="11"/>
  <c r="M29" i="11" s="1"/>
  <c r="G33" i="11"/>
  <c r="D57" i="14"/>
  <c r="J57" i="14" s="1"/>
  <c r="G42" i="11"/>
  <c r="D40" i="11"/>
  <c r="D42" i="11" s="1"/>
  <c r="J32" i="17"/>
  <c r="M14" i="17"/>
  <c r="O14" i="17" s="1"/>
  <c r="D20" i="55"/>
  <c r="D24" i="55" s="1"/>
  <c r="N26" i="12"/>
  <c r="P26" i="12" s="1"/>
  <c r="L24" i="11"/>
  <c r="H32" i="12"/>
  <c r="N32" i="17"/>
  <c r="G20" i="230"/>
  <c r="D8" i="230"/>
  <c r="K39" i="230"/>
  <c r="L12" i="11"/>
  <c r="D26" i="230"/>
  <c r="M26" i="230" s="1"/>
  <c r="G42" i="230"/>
  <c r="D40" i="230"/>
  <c r="D42" i="230" s="1"/>
  <c r="M35" i="17"/>
  <c r="I54" i="14"/>
  <c r="C21" i="12"/>
  <c r="L53" i="11"/>
  <c r="D53" i="11"/>
  <c r="M53" i="11" s="1"/>
  <c r="D53" i="14"/>
  <c r="J53" i="14" s="1"/>
  <c r="D23" i="14"/>
  <c r="J23" i="14" s="1"/>
  <c r="K54" i="11"/>
  <c r="K57" i="11" s="1"/>
  <c r="P45" i="12" s="1"/>
  <c r="L23" i="11"/>
  <c r="AD18" i="55"/>
  <c r="D37" i="11"/>
  <c r="M37" i="11" s="1"/>
  <c r="D32" i="14"/>
  <c r="J32" i="14" s="1"/>
  <c r="C39" i="17"/>
  <c r="C28" i="17"/>
  <c r="I64" i="14"/>
  <c r="G9" i="17"/>
  <c r="N12" i="18"/>
  <c r="M12" i="18"/>
  <c r="C21" i="17"/>
  <c r="J32" i="12"/>
  <c r="M10" i="17"/>
  <c r="E21" i="17"/>
  <c r="K33" i="11"/>
  <c r="F37" i="17"/>
  <c r="K39" i="11"/>
  <c r="D52" i="11"/>
  <c r="I54" i="11"/>
  <c r="L52" i="11"/>
  <c r="G37" i="12"/>
  <c r="AD6" i="55"/>
  <c r="G39" i="12"/>
  <c r="J7" i="11"/>
  <c r="G61" i="14"/>
  <c r="I21" i="14"/>
  <c r="H39" i="17"/>
  <c r="L35" i="11"/>
  <c r="H37" i="17"/>
  <c r="AD9" i="55"/>
  <c r="G9" i="12"/>
  <c r="M16" i="17"/>
  <c r="I52" i="14"/>
  <c r="N22" i="12"/>
  <c r="E28" i="12"/>
  <c r="N35" i="12"/>
  <c r="AD13" i="55"/>
  <c r="M9" i="18"/>
  <c r="N9" i="18"/>
  <c r="D22" i="14"/>
  <c r="J22" i="14" s="1"/>
  <c r="O39" i="12"/>
  <c r="F21" i="12"/>
  <c r="I42" i="14"/>
  <c r="M13" i="17"/>
  <c r="G15" i="18"/>
  <c r="G17" i="18" s="1"/>
  <c r="N17" i="12"/>
  <c r="P17" i="12" s="1"/>
  <c r="I66" i="14"/>
  <c r="M33" i="17"/>
  <c r="E37" i="17"/>
  <c r="M30" i="17"/>
  <c r="O30" i="17" s="1"/>
  <c r="D16" i="230"/>
  <c r="M16" i="230" s="1"/>
  <c r="D39" i="17"/>
  <c r="L23" i="230"/>
  <c r="C37" i="12"/>
  <c r="I34" i="14"/>
  <c r="J7" i="230"/>
  <c r="M26" i="17"/>
  <c r="O26" i="17" s="1"/>
  <c r="J9" i="12"/>
  <c r="D32" i="12"/>
  <c r="N23" i="18"/>
  <c r="M23" i="18"/>
  <c r="M15" i="17"/>
  <c r="L16" i="230"/>
  <c r="L25" i="11"/>
  <c r="I24" i="14"/>
  <c r="D34" i="230"/>
  <c r="G39" i="230"/>
  <c r="P20" i="55"/>
  <c r="P24" i="55" s="1"/>
  <c r="I21" i="12"/>
  <c r="D24" i="230"/>
  <c r="M24" i="230" s="1"/>
  <c r="L9" i="12"/>
  <c r="I50" i="14"/>
  <c r="F28" i="12"/>
  <c r="O29" i="17"/>
  <c r="C32" i="17"/>
  <c r="I42" i="11"/>
  <c r="L40" i="11"/>
  <c r="L42" i="11" s="1"/>
  <c r="F37" i="12"/>
  <c r="H20" i="55"/>
  <c r="H24" i="55" s="1"/>
  <c r="AD22" i="55"/>
  <c r="D41" i="14"/>
  <c r="J41" i="14" s="1"/>
  <c r="D10" i="11"/>
  <c r="M10" i="11" s="1"/>
  <c r="N14" i="12"/>
  <c r="D9" i="11"/>
  <c r="M9" i="11" s="1"/>
  <c r="D23" i="11"/>
  <c r="M23" i="11" s="1"/>
  <c r="L24" i="230"/>
  <c r="L40" i="230"/>
  <c r="L42" i="230" s="1"/>
  <c r="I42" i="230"/>
  <c r="D25" i="230"/>
  <c r="M25" i="230" s="1"/>
  <c r="D63" i="14"/>
  <c r="J63" i="14" s="1"/>
  <c r="F67" i="14"/>
  <c r="J33" i="11"/>
  <c r="N13" i="12"/>
  <c r="P13" i="12" s="1"/>
  <c r="D9" i="17"/>
  <c r="I10" i="14"/>
  <c r="L22" i="18"/>
  <c r="L24" i="18" s="1"/>
  <c r="D14" i="11"/>
  <c r="M14" i="11" s="1"/>
  <c r="I49" i="14"/>
  <c r="I9" i="14"/>
  <c r="I28" i="14"/>
  <c r="N37" i="17"/>
  <c r="I56" i="14"/>
  <c r="D15" i="11"/>
  <c r="M15" i="11" s="1"/>
  <c r="I29" i="14"/>
  <c r="D39" i="12"/>
  <c r="D9" i="14"/>
  <c r="J9" i="14" s="1"/>
  <c r="M17" i="17"/>
  <c r="O17" i="17" s="1"/>
  <c r="O16" i="17"/>
  <c r="O35" i="17"/>
  <c r="N12" i="12"/>
  <c r="P12" i="12" s="1"/>
  <c r="H67" i="14"/>
  <c r="H17" i="14"/>
  <c r="C32" i="12"/>
  <c r="L26" i="230"/>
  <c r="F20" i="55"/>
  <c r="F24" i="55" s="1"/>
  <c r="M36" i="17"/>
  <c r="I25" i="14"/>
  <c r="AD21" i="55"/>
  <c r="H13" i="14"/>
  <c r="I38" i="14"/>
  <c r="G21" i="17"/>
  <c r="G20" i="11"/>
  <c r="D8" i="11"/>
  <c r="D16" i="11"/>
  <c r="M16" i="11" s="1"/>
  <c r="G21" i="12"/>
  <c r="I22" i="14"/>
  <c r="D21" i="11"/>
  <c r="G28" i="11"/>
  <c r="N20" i="55"/>
  <c r="N24" i="55" s="1"/>
  <c r="L12" i="230"/>
  <c r="I57" i="14"/>
  <c r="I39" i="12"/>
  <c r="O32" i="12"/>
  <c r="J33" i="230"/>
  <c r="I9" i="17"/>
  <c r="L15" i="11"/>
  <c r="D26" i="14"/>
  <c r="J26" i="14" s="1"/>
  <c r="I46" i="14"/>
  <c r="M38" i="17"/>
  <c r="M39" i="17" s="1"/>
  <c r="E39" i="17"/>
  <c r="I30" i="14"/>
  <c r="G17" i="14"/>
  <c r="I15" i="14"/>
  <c r="I17" i="14" s="1"/>
  <c r="K9" i="17"/>
  <c r="AD14" i="55"/>
  <c r="L34" i="230"/>
  <c r="I39" i="230"/>
  <c r="L56" i="11"/>
  <c r="D56" i="11"/>
  <c r="M56" i="11" s="1"/>
  <c r="D36" i="11"/>
  <c r="M36" i="11" s="1"/>
  <c r="I37" i="17"/>
  <c r="L28" i="12"/>
  <c r="M20" i="55"/>
  <c r="M24" i="55" s="1"/>
  <c r="D10" i="230"/>
  <c r="M10" i="230" s="1"/>
  <c r="F61" i="14"/>
  <c r="D21" i="14"/>
  <c r="AD12" i="55"/>
  <c r="M22" i="17"/>
  <c r="E28" i="17"/>
  <c r="P34" i="12"/>
  <c r="H28" i="17"/>
  <c r="I20" i="55"/>
  <c r="I24" i="55" s="1"/>
  <c r="I20" i="11"/>
  <c r="L8" i="11"/>
  <c r="D56" i="14"/>
  <c r="J56" i="14" s="1"/>
  <c r="I43" i="14"/>
  <c r="N19" i="12"/>
  <c r="P19" i="12" s="1"/>
  <c r="I32" i="14"/>
  <c r="I32" i="17"/>
  <c r="K28" i="230"/>
  <c r="L15" i="230"/>
  <c r="K28" i="11"/>
  <c r="M31" i="17"/>
  <c r="O31" i="17" s="1"/>
  <c r="N30" i="12"/>
  <c r="P30" i="12" s="1"/>
  <c r="D21" i="230"/>
  <c r="G28" i="230"/>
  <c r="H32" i="17"/>
  <c r="O9" i="12"/>
  <c r="I21" i="17"/>
  <c r="J28" i="230"/>
  <c r="H21" i="12"/>
  <c r="L21" i="12"/>
  <c r="J54" i="11"/>
  <c r="J57" i="11" s="1"/>
  <c r="N24" i="93" s="1"/>
  <c r="N25" i="93" s="1"/>
  <c r="L51" i="230"/>
  <c r="D51" i="230"/>
  <c r="M51" i="230" s="1"/>
  <c r="D28" i="17"/>
  <c r="K42" i="11"/>
  <c r="D33" i="14"/>
  <c r="J33" i="14" s="1"/>
  <c r="L36" i="11"/>
  <c r="AD23" i="55"/>
  <c r="L29" i="230"/>
  <c r="I33" i="230"/>
  <c r="J28" i="17"/>
  <c r="D21" i="17"/>
  <c r="M24" i="17"/>
  <c r="C20" i="55"/>
  <c r="C24" i="55" s="1"/>
  <c r="AD8" i="55"/>
  <c r="D59" i="14"/>
  <c r="J59" i="14" s="1"/>
  <c r="N14" i="18"/>
  <c r="M14" i="18"/>
  <c r="L5" i="230"/>
  <c r="L7" i="230" s="1"/>
  <c r="I7" i="230"/>
  <c r="H21" i="17"/>
  <c r="D34" i="14"/>
  <c r="J34" i="14" s="1"/>
  <c r="D40" i="14"/>
  <c r="J40" i="14" s="1"/>
  <c r="D55" i="11"/>
  <c r="M55" i="11" s="1"/>
  <c r="L55" i="11"/>
  <c r="L18" i="11"/>
  <c r="D18" i="230"/>
  <c r="M18" i="230" s="1"/>
  <c r="M23" i="17"/>
  <c r="O23" i="17" s="1"/>
  <c r="D10" i="14"/>
  <c r="J10" i="14" s="1"/>
  <c r="G20" i="55"/>
  <c r="G24" i="55" s="1"/>
  <c r="O37" i="12"/>
  <c r="D21" i="12"/>
  <c r="K7" i="230"/>
  <c r="K28" i="17"/>
  <c r="D9" i="230"/>
  <c r="M9" i="230" s="1"/>
  <c r="L18" i="230"/>
  <c r="M20" i="17"/>
  <c r="D30" i="11"/>
  <c r="M30" i="11" s="1"/>
  <c r="G32" i="17"/>
  <c r="D44" i="14"/>
  <c r="J44" i="14" s="1"/>
  <c r="O24" i="17"/>
  <c r="F32" i="12"/>
  <c r="L22" i="230"/>
  <c r="L17" i="230"/>
  <c r="D50" i="230"/>
  <c r="M50" i="230" s="1"/>
  <c r="L50" i="230"/>
  <c r="D17" i="11"/>
  <c r="M17" i="11" s="1"/>
  <c r="N25" i="12"/>
  <c r="P25" i="12" s="1"/>
  <c r="K39" i="17"/>
  <c r="H61" i="14"/>
  <c r="L17" i="11"/>
  <c r="I9" i="12"/>
  <c r="D46" i="14"/>
  <c r="J46" i="14" s="1"/>
  <c r="L22" i="11"/>
  <c r="I41" i="14"/>
  <c r="O21" i="12"/>
  <c r="L36" i="230"/>
  <c r="U20" i="55"/>
  <c r="U24" i="55" s="1"/>
  <c r="O28" i="12"/>
  <c r="H39" i="12"/>
  <c r="D51" i="14"/>
  <c r="J51" i="14" s="1"/>
  <c r="D49" i="14"/>
  <c r="J49" i="14" s="1"/>
  <c r="L10" i="11"/>
  <c r="J42" i="230"/>
  <c r="N9" i="17"/>
  <c r="D14" i="230"/>
  <c r="M14" i="230" s="1"/>
  <c r="W20" i="55"/>
  <c r="W24" i="55" s="1"/>
  <c r="L25" i="230"/>
  <c r="G32" i="12"/>
  <c r="D30" i="230"/>
  <c r="M30" i="230" s="1"/>
  <c r="D9" i="12"/>
  <c r="D12" i="11"/>
  <c r="M12" i="11" s="1"/>
  <c r="I44" i="14"/>
  <c r="N21" i="18"/>
  <c r="I22" i="18"/>
  <c r="M21" i="18"/>
  <c r="J21" i="17"/>
  <c r="J28" i="11"/>
  <c r="D37" i="17"/>
  <c r="D39" i="14"/>
  <c r="J39" i="14" s="1"/>
  <c r="L37" i="230"/>
  <c r="I40" i="14"/>
  <c r="M19" i="17"/>
  <c r="O19" i="17" s="1"/>
  <c r="L9" i="11"/>
  <c r="I31" i="14"/>
  <c r="K20" i="230"/>
  <c r="F21" i="17"/>
  <c r="J37" i="17"/>
  <c r="AA20" i="55"/>
  <c r="AA24" i="55" s="1"/>
  <c r="K37" i="17"/>
  <c r="I33" i="14"/>
  <c r="I28" i="17"/>
  <c r="D23" i="230"/>
  <c r="M23" i="230" s="1"/>
  <c r="N29" i="12"/>
  <c r="P29" i="12" s="1"/>
  <c r="E32" i="12"/>
  <c r="D48" i="230"/>
  <c r="M48" i="230" s="1"/>
  <c r="L48" i="230"/>
  <c r="N10" i="12"/>
  <c r="E21" i="12"/>
  <c r="O15" i="17"/>
  <c r="D58" i="14"/>
  <c r="J58" i="14" s="1"/>
  <c r="I36" i="14"/>
  <c r="J20" i="55"/>
  <c r="J24" i="55" s="1"/>
  <c r="D31" i="230"/>
  <c r="M31" i="230" s="1"/>
  <c r="M27" i="17"/>
  <c r="O27" i="17" s="1"/>
  <c r="I49" i="230"/>
  <c r="D47" i="230"/>
  <c r="L47" i="230"/>
  <c r="D36" i="230"/>
  <c r="M36" i="230" s="1"/>
  <c r="I28" i="230"/>
  <c r="L21" i="230"/>
  <c r="M21" i="230"/>
  <c r="N36" i="12"/>
  <c r="L11" i="230"/>
  <c r="D48" i="14"/>
  <c r="J48" i="14" s="1"/>
  <c r="J20" i="230"/>
  <c r="D12" i="230"/>
  <c r="M12" i="230" s="1"/>
  <c r="I53" i="14"/>
  <c r="J39" i="11"/>
  <c r="E20" i="55"/>
  <c r="E24" i="55" s="1"/>
  <c r="L30" i="11"/>
  <c r="Q20" i="55"/>
  <c r="Q24" i="55" s="1"/>
  <c r="V20" i="55"/>
  <c r="V24" i="55" s="1"/>
  <c r="C9" i="12"/>
  <c r="J42" i="11"/>
  <c r="D37" i="14"/>
  <c r="J37" i="14" s="1"/>
  <c r="N38" i="12"/>
  <c r="N39" i="12" s="1"/>
  <c r="E39" i="12"/>
  <c r="D13" i="230"/>
  <c r="M13" i="230" s="1"/>
  <c r="J22" i="18"/>
  <c r="J24" i="18" s="1"/>
  <c r="D31" i="14"/>
  <c r="J31" i="14" s="1"/>
  <c r="N11" i="18"/>
  <c r="M11" i="18"/>
  <c r="D11" i="11"/>
  <c r="M11" i="11" s="1"/>
  <c r="L31" i="11"/>
  <c r="L5" i="11"/>
  <c r="L7" i="11" s="1"/>
  <c r="I7" i="11"/>
  <c r="Y20" i="55"/>
  <c r="Y24" i="55" s="1"/>
  <c r="K20" i="55"/>
  <c r="K24" i="55" s="1"/>
  <c r="I37" i="14"/>
  <c r="AB20" i="55"/>
  <c r="AB24" i="55" s="1"/>
  <c r="G7" i="11"/>
  <c r="D5" i="11"/>
  <c r="D7" i="11" s="1"/>
  <c r="O36" i="17"/>
  <c r="G7" i="230"/>
  <c r="D5" i="230"/>
  <c r="D7" i="230" s="1"/>
  <c r="I59" i="14"/>
  <c r="I37" i="12"/>
  <c r="P14" i="12"/>
  <c r="L14" i="11"/>
  <c r="D24" i="14"/>
  <c r="J24" i="14" s="1"/>
  <c r="D42" i="14"/>
  <c r="J42" i="14" s="1"/>
  <c r="G37" i="17"/>
  <c r="I48" i="14"/>
  <c r="I32" i="12"/>
  <c r="D66" i="14"/>
  <c r="J66" i="14" s="1"/>
  <c r="P36" i="12"/>
  <c r="C39" i="12"/>
  <c r="K42" i="230"/>
  <c r="K33" i="230"/>
  <c r="L13" i="11"/>
  <c r="D64" i="14"/>
  <c r="J64" i="14" s="1"/>
  <c r="H9" i="12"/>
  <c r="L32" i="12"/>
  <c r="I33" i="11"/>
  <c r="L29" i="11"/>
  <c r="D22" i="230"/>
  <c r="M22" i="230" s="1"/>
  <c r="J49" i="230"/>
  <c r="J52" i="230" s="1"/>
  <c r="M11" i="17"/>
  <c r="O11" i="17" s="1"/>
  <c r="D25" i="11"/>
  <c r="M25" i="11" s="1"/>
  <c r="I51" i="14"/>
  <c r="G28" i="12"/>
  <c r="H9" i="17"/>
  <c r="N39" i="17"/>
  <c r="D36" i="14"/>
  <c r="J36" i="14" s="1"/>
  <c r="M13" i="18"/>
  <c r="N13" i="18"/>
  <c r="L13" i="230"/>
  <c r="M25" i="17"/>
  <c r="O25" i="17" s="1"/>
  <c r="L11" i="11"/>
  <c r="D35" i="230"/>
  <c r="M35" i="230" s="1"/>
  <c r="N11" i="12"/>
  <c r="P11" i="12" s="1"/>
  <c r="I45" i="14"/>
  <c r="N23" i="12"/>
  <c r="P23" i="12" s="1"/>
  <c r="D37" i="12"/>
  <c r="I26" i="14"/>
  <c r="D11" i="14"/>
  <c r="J11" i="14" s="1"/>
  <c r="L8" i="230"/>
  <c r="I20" i="230"/>
  <c r="M8" i="230"/>
  <c r="G67" i="14"/>
  <c r="I63" i="14"/>
  <c r="J21" i="12"/>
  <c r="L39" i="12"/>
  <c r="D52" i="14"/>
  <c r="J52" i="14" s="1"/>
  <c r="D43" i="14"/>
  <c r="J43" i="14" s="1"/>
  <c r="D22" i="11"/>
  <c r="M22" i="11" s="1"/>
  <c r="K32" i="17"/>
  <c r="D28" i="14"/>
  <c r="J28" i="14" s="1"/>
  <c r="N28" i="17"/>
  <c r="I39" i="11"/>
  <c r="L34" i="11"/>
  <c r="N18" i="12"/>
  <c r="P18" i="12" s="1"/>
  <c r="F39" i="17"/>
  <c r="J9" i="17"/>
  <c r="D45" i="14"/>
  <c r="J45" i="14" s="1"/>
  <c r="M34" i="17"/>
  <c r="O34" i="17" s="1"/>
  <c r="C37" i="17"/>
  <c r="O33" i="17"/>
  <c r="T20" i="55"/>
  <c r="T24" i="55" s="1"/>
  <c r="N8" i="12"/>
  <c r="N9" i="12" s="1"/>
  <c r="E9" i="12"/>
  <c r="D31" i="11"/>
  <c r="M31" i="11" s="1"/>
  <c r="H37" i="12"/>
  <c r="M18" i="17"/>
  <c r="O18" i="17" s="1"/>
  <c r="L31" i="230"/>
  <c r="D50" i="14"/>
  <c r="J50" i="14" s="1"/>
  <c r="I39" i="17"/>
  <c r="D35" i="11"/>
  <c r="M35" i="11" s="1"/>
  <c r="O8" i="17"/>
  <c r="O9" i="17" s="1"/>
  <c r="C9" i="17"/>
  <c r="N15" i="12"/>
  <c r="P15" i="12" s="1"/>
  <c r="G49" i="230"/>
  <c r="G52" i="230" s="1"/>
  <c r="N10" i="18"/>
  <c r="M10" i="18"/>
  <c r="L30" i="230"/>
  <c r="N16" i="12"/>
  <c r="P16" i="12" s="1"/>
  <c r="D11" i="230"/>
  <c r="M11" i="230" s="1"/>
  <c r="H28" i="12"/>
  <c r="D65" i="14"/>
  <c r="J65" i="14" s="1"/>
  <c r="D32" i="17"/>
  <c r="D13" i="11"/>
  <c r="M13" i="11" s="1"/>
  <c r="D26" i="11"/>
  <c r="M26" i="11" s="1"/>
  <c r="J39" i="230"/>
  <c r="N24" i="12"/>
  <c r="P24" i="12" s="1"/>
  <c r="F17" i="14"/>
  <c r="D15" i="14"/>
  <c r="D17" i="14" s="1"/>
  <c r="D54" i="14"/>
  <c r="J54" i="14" s="1"/>
  <c r="N27" i="12"/>
  <c r="P27" i="12" s="1"/>
  <c r="L20" i="55"/>
  <c r="L24" i="55" s="1"/>
  <c r="D29" i="14"/>
  <c r="J29" i="14" s="1"/>
  <c r="F9" i="17"/>
  <c r="C28" i="12"/>
  <c r="P22" i="12"/>
  <c r="K7" i="11"/>
  <c r="I11" i="14"/>
  <c r="J39" i="12"/>
  <c r="D18" i="11"/>
  <c r="M18" i="11" s="1"/>
  <c r="D8" i="14"/>
  <c r="F13" i="14"/>
  <c r="N33" i="12"/>
  <c r="E37" i="12"/>
  <c r="L35" i="230"/>
  <c r="I23" i="14"/>
  <c r="L37" i="11"/>
  <c r="M12" i="17"/>
  <c r="O12" i="17" s="1"/>
  <c r="J15" i="18"/>
  <c r="J17" i="18" s="1"/>
  <c r="G39" i="17"/>
  <c r="F32" i="17"/>
  <c r="G28" i="17"/>
  <c r="AD10" i="55"/>
  <c r="F39" i="12"/>
  <c r="D28" i="12"/>
  <c r="F9" i="12"/>
  <c r="D24" i="11"/>
  <c r="M24" i="11" s="1"/>
  <c r="J37" i="12"/>
  <c r="G54" i="11"/>
  <c r="G57" i="11" s="1"/>
  <c r="L14" i="230"/>
  <c r="Z20" i="55"/>
  <c r="Z24" i="55" s="1"/>
  <c r="I58" i="14"/>
  <c r="I28" i="12"/>
  <c r="N8" i="18"/>
  <c r="I15" i="18"/>
  <c r="M8" i="18"/>
  <c r="O20" i="17"/>
  <c r="O13" i="17"/>
  <c r="K49" i="230"/>
  <c r="K52" i="230" s="1"/>
  <c r="J28" i="12"/>
  <c r="F28" i="17"/>
  <c r="J20" i="11"/>
  <c r="P35" i="12"/>
  <c r="I43" i="17" l="1"/>
  <c r="D49" i="230"/>
  <c r="M7" i="230"/>
  <c r="M40" i="230"/>
  <c r="O38" i="17"/>
  <c r="O39" i="17" s="1"/>
  <c r="P38" i="12"/>
  <c r="P39" i="12" s="1"/>
  <c r="M40" i="11"/>
  <c r="D54" i="11"/>
  <c r="D57" i="11" s="1"/>
  <c r="L33" i="11"/>
  <c r="M5" i="11"/>
  <c r="M7" i="11"/>
  <c r="I67" i="14"/>
  <c r="M15" i="18"/>
  <c r="M17" i="18" s="1"/>
  <c r="N37" i="12"/>
  <c r="J43" i="12"/>
  <c r="P28" i="12"/>
  <c r="F19" i="14"/>
  <c r="F69" i="14" s="1"/>
  <c r="O37" i="17"/>
  <c r="L39" i="11"/>
  <c r="L43" i="12"/>
  <c r="C43" i="12"/>
  <c r="E43" i="12"/>
  <c r="J49" i="11"/>
  <c r="L28" i="230"/>
  <c r="M47" i="230"/>
  <c r="J44" i="230"/>
  <c r="H43" i="12"/>
  <c r="AD20" i="55"/>
  <c r="AD24" i="55" s="1"/>
  <c r="H19" i="14"/>
  <c r="H69" i="14" s="1"/>
  <c r="D43" i="12"/>
  <c r="O32" i="17"/>
  <c r="M34" i="230"/>
  <c r="D39" i="230"/>
  <c r="M39" i="230" s="1"/>
  <c r="N28" i="12"/>
  <c r="H43" i="17"/>
  <c r="M52" i="11"/>
  <c r="M21" i="17"/>
  <c r="O10" i="17"/>
  <c r="O21" i="17" s="1"/>
  <c r="C43" i="17"/>
  <c r="D20" i="230"/>
  <c r="M20" i="230" s="1"/>
  <c r="M29" i="230"/>
  <c r="D33" i="230"/>
  <c r="M33" i="230" s="1"/>
  <c r="K43" i="17"/>
  <c r="L20" i="11"/>
  <c r="D61" i="14"/>
  <c r="J61" i="14" s="1"/>
  <c r="G19" i="14"/>
  <c r="J17" i="14"/>
  <c r="M21" i="11"/>
  <c r="D28" i="11"/>
  <c r="M28" i="11" s="1"/>
  <c r="G44" i="230"/>
  <c r="I17" i="18"/>
  <c r="N17" i="18" s="1"/>
  <c r="N15" i="18"/>
  <c r="F43" i="12"/>
  <c r="G43" i="17"/>
  <c r="F43" i="17"/>
  <c r="P8" i="12"/>
  <c r="P9" i="12" s="1"/>
  <c r="D52" i="230"/>
  <c r="M28" i="17"/>
  <c r="L39" i="230"/>
  <c r="J15" i="14"/>
  <c r="E43" i="17"/>
  <c r="D67" i="14"/>
  <c r="J67" i="14" s="1"/>
  <c r="D43" i="17"/>
  <c r="M37" i="17"/>
  <c r="O43" i="12"/>
  <c r="J21" i="14"/>
  <c r="G43" i="12"/>
  <c r="O22" i="17"/>
  <c r="O28" i="17" s="1"/>
  <c r="D33" i="11"/>
  <c r="M33" i="11" s="1"/>
  <c r="L28" i="11"/>
  <c r="D39" i="11"/>
  <c r="M39" i="11" s="1"/>
  <c r="L20" i="230"/>
  <c r="D20" i="11"/>
  <c r="M20" i="11" s="1"/>
  <c r="P32" i="12"/>
  <c r="M42" i="230"/>
  <c r="I44" i="230"/>
  <c r="J8" i="14"/>
  <c r="D13" i="14"/>
  <c r="D19" i="14" s="1"/>
  <c r="N43" i="17"/>
  <c r="K44" i="230"/>
  <c r="I52" i="230"/>
  <c r="L49" i="230"/>
  <c r="L52" i="230" s="1"/>
  <c r="M49" i="230"/>
  <c r="N21" i="12"/>
  <c r="N32" i="12"/>
  <c r="N22" i="18"/>
  <c r="I24" i="18"/>
  <c r="N24" i="18" s="1"/>
  <c r="M22" i="18"/>
  <c r="M24" i="18" s="1"/>
  <c r="M5" i="230"/>
  <c r="L33" i="230"/>
  <c r="K49" i="11"/>
  <c r="D28" i="230"/>
  <c r="M28" i="230" s="1"/>
  <c r="M8" i="11"/>
  <c r="I43" i="12"/>
  <c r="I49" i="11"/>
  <c r="M42" i="11"/>
  <c r="P33" i="12"/>
  <c r="P37" i="12" s="1"/>
  <c r="I61" i="14"/>
  <c r="L54" i="11"/>
  <c r="L57" i="11" s="1"/>
  <c r="I57" i="11"/>
  <c r="AD25" i="55" s="1"/>
  <c r="AD26" i="55" s="1"/>
  <c r="P10" i="12"/>
  <c r="P21" i="12" s="1"/>
  <c r="G49" i="11"/>
  <c r="M32" i="17"/>
  <c r="J43" i="17"/>
  <c r="I13" i="14"/>
  <c r="I19" i="14" s="1"/>
  <c r="M54" i="11" l="1"/>
  <c r="L44" i="230"/>
  <c r="O43" i="17"/>
  <c r="M43" i="17"/>
  <c r="N43" i="12"/>
  <c r="P43" i="12"/>
  <c r="P46" i="12" s="1"/>
  <c r="L49" i="11"/>
  <c r="M57" i="11"/>
  <c r="I69" i="14"/>
  <c r="I70" i="14" s="1"/>
  <c r="J19" i="14"/>
  <c r="D44" i="230"/>
  <c r="M44" i="230" s="1"/>
  <c r="G69" i="14"/>
  <c r="M52" i="230"/>
  <c r="D49" i="11"/>
  <c r="M49" i="11" s="1"/>
  <c r="D69" i="14"/>
  <c r="J13" i="14"/>
  <c r="J69" i="14" l="1"/>
</calcChain>
</file>

<file path=xl/sharedStrings.xml><?xml version="1.0" encoding="utf-8"?>
<sst xmlns="http://schemas.openxmlformats.org/spreadsheetml/2006/main" count="1735" uniqueCount="656">
  <si>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</si>
  <si>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</si>
  <si>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</si>
  <si>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</si>
  <si>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</si>
  <si>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</si>
  <si>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</si>
  <si>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</si>
  <si>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</si>
  <si>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</si>
  <si>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</si>
  <si>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</si>
  <si>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</si>
  <si>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</si>
  <si>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</si>
  <si>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</si>
  <si>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</si>
  <si>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</si>
  <si>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</si>
  <si>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</si>
  <si>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</si>
  <si>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</si>
  <si>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</si>
  <si>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</si>
  <si>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</si>
  <si>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</si>
  <si>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</si>
  <si>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</si>
  <si>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</si>
  <si>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</si>
  <si>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</si>
  <si>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</si>
  <si>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</si>
  <si>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</si>
  <si>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</si>
  <si>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</si>
  <si>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</si>
  <si>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</si>
  <si>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</si>
  <si>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</si>
  <si>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</si>
  <si>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</si>
  <si>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</si>
  <si>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</si>
  <si>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</si>
  <si>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</si>
  <si>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</si>
  <si>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</si>
  <si>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</si>
  <si>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</si>
  <si>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</si>
  <si>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</si>
  <si>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</si>
  <si>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</si>
  <si>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</si>
  <si>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</si>
  <si>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</si>
  <si>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</si>
  <si>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</si>
  <si>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</si>
  <si>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</si>
  <si>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</si>
  <si>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</si>
  <si>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</si>
  <si>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</si>
  <si>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</si>
  <si>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</si>
  <si>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</si>
  <si>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</si>
  <si>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</si>
  <si>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</si>
  <si>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</si>
  <si>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</si>
  <si>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</si>
  <si>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</si>
  <si>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</si>
  <si>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</si>
  <si>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</si>
  <si>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</si>
  <si>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</si>
  <si>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</si>
  <si>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</si>
  <si>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</si>
  <si>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</si>
  <si>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</si>
  <si>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</si>
  <si>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</si>
  <si>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</si>
  <si>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</si>
  <si>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</si>
  <si>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</si>
  <si>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</si>
  <si>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</si>
  <si>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</si>
  <si>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</si>
  <si>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</si>
  <si>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</si>
  <si>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</si>
  <si>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</si>
  <si>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</si>
  <si>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</si>
  <si>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</si>
  <si>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</si>
  <si>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</si>
  <si>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</si>
  <si>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</si>
  <si>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</si>
  <si>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</si>
  <si>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</si>
  <si>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</si>
  <si>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</si>
  <si>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</si>
  <si>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</si>
  <si>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</si>
  <si>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</si>
  <si>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</si>
  <si>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</si>
  <si>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</si>
  <si>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</si>
  <si>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</si>
  <si>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</si>
  <si>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</si>
  <si>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</si>
  <si>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</si>
  <si>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</si>
  <si>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</si>
  <si>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</si>
  <si>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</si>
  <si>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</si>
  <si>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</si>
  <si>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</si>
  <si>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</si>
  <si>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</si>
  <si>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</si>
  <si>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</si>
  <si>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</si>
  <si>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</si>
  <si>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</si>
  <si>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</si>
  <si>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</si>
  <si>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</si>
  <si>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</si>
  <si>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</si>
  <si>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</si>
  <si>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</si>
  <si>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</si>
  <si>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</si>
  <si>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</si>
  <si>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</si>
  <si>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</si>
  <si>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</si>
  <si>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</si>
  <si>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</si>
  <si>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</si>
  <si>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</si>
  <si>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</si>
  <si>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</si>
  <si>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</si>
  <si>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</si>
  <si>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</si>
  <si>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</si>
  <si>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</si>
  <si>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</si>
  <si>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</si>
  <si>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</si>
  <si>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</si>
  <si>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</si>
  <si>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</si>
  <si>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</si>
  <si>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</si>
  <si>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</si>
  <si>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</si>
  <si>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</si>
  <si>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</si>
  <si>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</si>
  <si>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</si>
  <si>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</si>
  <si>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</si>
  <si>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</si>
  <si>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</si>
  <si>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</si>
  <si>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</si>
  <si>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</si>
  <si>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</si>
  <si>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</si>
  <si>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</si>
  <si>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</si>
  <si>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</si>
  <si>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</si>
  <si>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</si>
  <si>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</si>
  <si>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</si>
  <si>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</si>
  <si>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</si>
  <si>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</si>
  <si>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</si>
  <si>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</si>
  <si>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</si>
  <si>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</si>
  <si>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</si>
  <si>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</si>
  <si>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</si>
  <si>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</si>
  <si>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</si>
  <si>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</si>
  <si>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</si>
  <si>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</si>
  <si>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</si>
  <si>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</si>
  <si>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</si>
  <si>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</si>
  <si>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</si>
  <si>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</si>
  <si>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</si>
  <si>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</si>
  <si>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</si>
  <si>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</si>
  <si>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</si>
  <si>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</si>
  <si>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</si>
  <si>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</si>
  <si>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</si>
  <si>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</si>
  <si>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</si>
  <si>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</si>
  <si>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</si>
  <si>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</si>
  <si>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</si>
  <si>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</si>
  <si>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</si>
  <si>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</si>
  <si>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</si>
  <si>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</si>
  <si>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</si>
  <si>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</si>
  <si>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</si>
  <si>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</si>
  <si>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</si>
  <si>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</si>
  <si>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</si>
  <si>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</si>
  <si>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</si>
  <si>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</si>
  <si>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</si>
  <si>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</si>
  <si>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</si>
  <si>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</si>
  <si>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</si>
  <si>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</si>
  <si>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</si>
  <si>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</si>
  <si>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</si>
  <si>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</si>
  <si>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</si>
  <si>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</si>
  <si>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</si>
  <si>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</si>
  <si>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</si>
  <si>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</si>
  <si>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</si>
  <si>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</si>
  <si>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</si>
  <si>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</si>
  <si>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</si>
  <si>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</si>
  <si>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</si>
  <si>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</si>
  <si>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</si>
  <si>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</si>
  <si>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</si>
  <si>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</si>
  <si>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</si>
  <si>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</si>
  <si>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</si>
  <si>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</si>
  <si>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</si>
  <si>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</si>
  <si>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</si>
  <si>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</si>
  <si>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</si>
  <si>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</si>
  <si>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</si>
  <si>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</si>
  <si>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</si>
  <si>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</si>
  <si>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</si>
  <si>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</si>
  <si>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</si>
  <si>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</si>
  <si>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</si>
  <si>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</si>
  <si>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</si>
  <si>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</si>
  <si>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</si>
  <si>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</si>
  <si>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</si>
  <si>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</si>
  <si>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</si>
  <si>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</si>
  <si>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</si>
  <si>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</si>
  <si>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</si>
  <si>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</si>
  <si>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</si>
  <si>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</si>
  <si>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</si>
  <si>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</si>
  <si>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</si>
  <si>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</si>
  <si>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</si>
  <si>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</si>
  <si>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</si>
  <si>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</si>
  <si>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</si>
  <si>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</si>
  <si>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</si>
  <si>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</si>
  <si>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</si>
  <si>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</si>
  <si>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</si>
  <si>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</si>
  <si>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</si>
  <si>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</si>
  <si>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</si>
  <si>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</si>
  <si>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</si>
  <si>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</si>
  <si>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</si>
  <si>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</si>
  <si>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</si>
  <si>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</si>
  <si>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</si>
  <si>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</si>
  <si>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</si>
  <si>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</si>
  <si>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</si>
  <si>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</si>
  <si>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</si>
  <si>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</si>
  <si>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</si>
  <si>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</si>
  <si>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</si>
  <si>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</si>
  <si>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</si>
  <si>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</si>
  <si>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</si>
  <si>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</si>
  <si>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</si>
  <si>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</si>
  <si>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</si>
  <si>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</si>
  <si>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</si>
  <si>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</si>
  <si>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</si>
  <si>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</si>
  <si>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</si>
  <si>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</si>
  <si>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</si>
  <si>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</si>
  <si>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</si>
  <si>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</si>
  <si>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</si>
  <si>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</si>
  <si>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</si>
  <si>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</si>
  <si>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</si>
  <si>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</si>
  <si>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</si>
  <si>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</si>
  <si>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</si>
  <si>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</si>
  <si>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</si>
  <si>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</si>
  <si>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</si>
  <si>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</si>
  <si>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</si>
  <si>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</si>
  <si>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</si>
  <si>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</si>
  <si>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</si>
  <si>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</si>
  <si>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</si>
  <si>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</si>
  <si>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</si>
  <si>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</si>
  <si>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</si>
  <si>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</si>
  <si>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</si>
  <si>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</si>
  <si>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</si>
  <si>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</si>
  <si>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</si>
  <si>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</si>
  <si>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</si>
  <si>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</si>
  <si>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</si>
  <si>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</si>
  <si>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</si>
  <si>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</si>
  <si>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</si>
  <si>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</si>
  <si>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</si>
  <si>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</si>
  <si>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</si>
  <si>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</si>
  <si>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</si>
  <si>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</si>
  <si>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</si>
  <si>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</si>
  <si>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</si>
  <si>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</si>
  <si>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</si>
  <si>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</si>
  <si>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</si>
  <si>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</si>
  <si>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</si>
  <si>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</si>
  <si>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</si>
  <si>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</si>
  <si>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</si>
  <si>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</si>
  <si>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</si>
  <si>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</si>
  <si>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</si>
  <si>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</si>
  <si>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</si>
  <si>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</si>
  <si>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</si>
  <si>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</si>
  <si>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</si>
  <si>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</si>
  <si>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</si>
  <si>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</si>
  <si>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</si>
  <si>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</si>
  <si>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</si>
  <si>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</si>
  <si>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</si>
  <si>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</si>
  <si>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</si>
  <si>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</si>
  <si>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</si>
  <si>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</si>
  <si>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</si>
  <si>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</si>
  <si>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</si>
  <si>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</si>
  <si>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</si>
  <si>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</si>
  <si>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</si>
  <si>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</si>
  <si>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</si>
  <si>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</si>
  <si>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</si>
  <si>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</si>
  <si>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</si>
  <si>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</si>
  <si>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</si>
  <si>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</si>
  <si>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</si>
  <si>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</si>
  <si>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</si>
  <si>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</si>
  <si>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</si>
  <si>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</si>
  <si>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</si>
  <si>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</si>
  <si>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</si>
  <si>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</si>
  <si>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</si>
  <si>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</si>
  <si>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</si>
  <si>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</si>
  <si>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</si>
  <si>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</si>
  <si>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</si>
  <si>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</si>
  <si>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</si>
  <si>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</si>
  <si>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</si>
  <si>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</si>
  <si>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</si>
  <si>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</si>
  <si>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</si>
  <si>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</si>
  <si>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</si>
  <si>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</si>
  <si>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</si>
  <si>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</si>
  <si>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</si>
  <si>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</si>
  <si>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</si>
  <si>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</si>
  <si>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</si>
  <si>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</si>
  <si>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</si>
  <si>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</si>
  <si>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</si>
  <si>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</si>
  <si>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</si>
  <si>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</si>
  <si>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</si>
  <si>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</si>
  <si>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</si>
  <si>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</si>
  <si>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</si>
  <si>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</si>
  <si>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</si>
  <si>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</si>
  <si>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</si>
  <si>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</si>
  <si>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</si>
  <si>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</si>
  <si>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</si>
  <si>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</si>
  <si>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</si>
  <si>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</si>
  <si>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</si>
  <si>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</si>
  <si>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</si>
  <si>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</si>
  <si>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</si>
  <si>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</si>
  <si>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</si>
  <si>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</si>
  <si>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</si>
  <si>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</si>
  <si>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</si>
  <si>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</si>
  <si>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</si>
  <si>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</si>
  <si>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</si>
  <si>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</si>
  <si>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</si>
  <si>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</si>
  <si>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</si>
  <si>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</si>
  <si>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</si>
  <si>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</si>
  <si>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</si>
  <si>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</si>
  <si>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</si>
  <si>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</si>
  <si>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</si>
  <si>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</si>
  <si>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</si>
  <si>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</si>
  <si>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</si>
  <si>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</si>
  <si>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</si>
  <si>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</si>
  <si>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</si>
  <si>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</si>
  <si>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</si>
  <si>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</si>
  <si>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</si>
  <si>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</si>
  <si>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</si>
  <si>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</si>
  <si>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</si>
  <si>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</si>
  <si>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</si>
  <si>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</si>
  <si>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</si>
  <si>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</si>
  <si>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</si>
  <si>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</si>
  <si>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</si>
  <si>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</si>
  <si>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</si>
  <si>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</si>
  <si>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</si>
  <si>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</si>
  <si>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</si>
  <si>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1,B,E</t>
  </si>
  <si>
    <t>1,D,H</t>
  </si>
  <si>
    <t>1,B,D</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</si>
  <si>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</si>
  <si>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</si>
  <si>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</si>
  <si>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</si>
  <si>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</si>
  <si>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</si>
  <si>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</si>
  <si>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</si>
  <si>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</si>
  <si>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</si>
  <si>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FY 2022 Projected **</t>
  </si>
  <si>
    <t>CBC Transition Strategy Transfer (Fiscal Size-Up)</t>
  </si>
  <si>
    <t>1-1-1.1 OP Number of Calls Received by Statewide Intake Staff</t>
  </si>
  <si>
    <t>1-1-1.2 OP Number of CPS Reports of Child Abuse/Neglect</t>
  </si>
  <si>
    <t>1-1-1.3 OP Number of APS In-Home Reports of Adult Abuse/Neglect/Exploitation</t>
  </si>
  <si>
    <t>2-1-1.1 OP Number of Completed CPI Child Abuse/Neglect Investigations</t>
  </si>
  <si>
    <t>4-1-1.1 OP Number of Completed APS In-Home Investigations</t>
  </si>
  <si>
    <t>4-1-1.1 EF APS In-Home Average Daily Caseload Per Worker YTD</t>
  </si>
  <si>
    <t>2-1-1.9 OP Average Number of FPS Children per Month in Out-of-Home Care</t>
  </si>
  <si>
    <t>2-1-9.1 OP Average Number of Children (FTE) Served in Paid Foster Care per Month</t>
  </si>
  <si>
    <t>2-1-10.1 OP Average Number of Children Provided Adoption Subsidy per Month</t>
  </si>
  <si>
    <t>3-1-1.1 OP - Average Number of STAR Youth Served per Month (Projected)</t>
  </si>
  <si>
    <t>3-1-2.1 OP - Average Number of CYD Youth Served per Month - Projected</t>
  </si>
  <si>
    <t>1-1-1.1 EF Statewide Intake Specialist Reports per Hour</t>
  </si>
  <si>
    <t xml:space="preserve">1-1-1.4 OP Number of Provider Abuse/Neglect/Exploit Reports </t>
  </si>
  <si>
    <t>*</t>
  </si>
  <si>
    <t>YTD for #8-11 are projections provided by DFPS Forecasting</t>
  </si>
  <si>
    <t>**</t>
  </si>
  <si>
    <t>Projections Provided by DFPS Forecasting.</t>
  </si>
  <si>
    <t>NOTE:  DFPS MRS provides actuals and DFPS Forecasting provides projections.</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</si>
  <si>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</si>
  <si>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</si>
  <si>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</si>
  <si>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</si>
  <si>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</si>
  <si>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</si>
  <si>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The data contained in each report is through February 28, 2022</t>
  </si>
  <si>
    <t>Data Through February 28, 2022</t>
  </si>
  <si>
    <t>as of 02/28/22</t>
  </si>
  <si>
    <t>YTD Expense as of 02/28/2022</t>
  </si>
  <si>
    <t>R</t>
  </si>
  <si>
    <t>Art IX, Sec 14.04, Disaster Related Transfer Authority (2022-23 GAA)</t>
  </si>
  <si>
    <t>Art IX, Sec 17.48, Additional Reductions to Appropriations made under other Articles (2022-23 GAA)</t>
  </si>
  <si>
    <t>C,Q</t>
  </si>
  <si>
    <t>B,C,D,I,J,K,Q</t>
  </si>
  <si>
    <t>B,Q</t>
  </si>
  <si>
    <t>C,G,Q</t>
  </si>
  <si>
    <t>C,D,Q</t>
  </si>
  <si>
    <t>B,C,Q</t>
  </si>
  <si>
    <t>A,B,C,I,Q,V</t>
  </si>
  <si>
    <t>C,Q,R</t>
  </si>
  <si>
    <t>B,C,D,Q,R</t>
  </si>
  <si>
    <t>Q,R</t>
  </si>
  <si>
    <t>B,C,D,I,Q,R</t>
  </si>
  <si>
    <t>93.558.119</t>
  </si>
  <si>
    <t>Temporary Assistance for Needy Families (TANF) Pandemic Emergency Assistance</t>
  </si>
  <si>
    <t>Y</t>
  </si>
  <si>
    <t>1,B,C,D,I,J,P,V,X,Y</t>
  </si>
  <si>
    <t>B,Y</t>
  </si>
  <si>
    <t>1,B,C,D,H,I,V,Y</t>
  </si>
  <si>
    <t>C,N,Y</t>
  </si>
  <si>
    <t>C,Y</t>
  </si>
  <si>
    <t>B,C,M,O,Y</t>
  </si>
  <si>
    <t>C,O,Y</t>
  </si>
  <si>
    <t>B,G,Y</t>
  </si>
  <si>
    <t>B,C,V,Y</t>
  </si>
  <si>
    <t>B,C,D,M,O,V,Y</t>
  </si>
  <si>
    <t>C,V,Y</t>
  </si>
  <si>
    <t>M,P,V</t>
  </si>
  <si>
    <t>1,B,C,D,Y</t>
  </si>
  <si>
    <t>1,B,C,E,Y</t>
  </si>
  <si>
    <t>Art IX, Sec 14.04, Disaster Related Transfer Authority (2021-22 GAA)</t>
  </si>
  <si>
    <t>Data Through February 2022</t>
  </si>
  <si>
    <t>Actual Expenditures through February 2022, Projections after February 2022</t>
  </si>
  <si>
    <t>FTE Paid # After February 2022 based on Budgeted FTE CAP</t>
  </si>
  <si>
    <t>Temporary Assistance for Needy Families Pandemic Emergency Assistance</t>
  </si>
  <si>
    <t>FY 2022 Monthly Financial Report:  Select Performance Measures</t>
  </si>
  <si>
    <t>Target FY 2022 SB 1</t>
  </si>
  <si>
    <t>Variance (SB 1 vs.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</si>
</sst>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10">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
      <b/>
      <sz val="11"/>
      <color theme="1"/>
      <name val="Calibri"/>
      <family val="2"/>
      <scheme val="minor"/>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bgColor indexed="64"/>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style="thin">
        <color indexed="64"/>
      </right>
      <top style="medium">
        <color indexed="64"/>
      </top>
      <bottom/>
      <diagonal/>
    </border>
    <border>
      <left/>
      <right/>
      <top/>
      <bottom style="double">
        <color indexed="64"/>
      </bottom>
      <diagonal/>
    </border>
    <border>
      <left/>
      <right/>
      <top/>
      <bottom style="thin">
        <color indexed="64"/>
      </bottom>
      <diagonal/>
    </border>
  </borders>
  <cellStyleXfs count="51136">
    <xf numFmtId="0" fontId="0" fillId="0" borderId="0"/>
    <xf numFmtId="43" fontId="114" fillId="0" borderId="0" applyFont="0" applyFill="0" applyBorder="0" applyAlignment="0" applyProtection="0"/>
    <xf numFmtId="44" fontId="114" fillId="0" borderId="0" applyFont="0" applyFill="0" applyBorder="0" applyAlignment="0" applyProtection="0"/>
    <xf numFmtId="0" fontId="118" fillId="0" borderId="0"/>
    <xf numFmtId="0" fontId="119" fillId="0" borderId="0" applyNumberFormat="0" applyFont="0" applyFill="0" applyBorder="0" applyAlignment="0" applyProtection="0">
      <alignment horizontal="left"/>
    </xf>
    <xf numFmtId="15" fontId="119" fillId="0" borderId="0" applyFont="0" applyFill="0" applyBorder="0" applyAlignment="0" applyProtection="0"/>
    <xf numFmtId="4" fontId="119" fillId="0" borderId="0" applyFont="0" applyFill="0" applyBorder="0" applyAlignment="0" applyProtection="0"/>
    <xf numFmtId="0" fontId="120" fillId="0" borderId="1">
      <alignment horizontal="center"/>
    </xf>
    <xf numFmtId="3" fontId="119" fillId="0" borderId="0" applyFont="0" applyFill="0" applyBorder="0" applyAlignment="0" applyProtection="0"/>
    <xf numFmtId="0" fontId="119" fillId="2" borderId="0" applyNumberFormat="0" applyFont="0" applyBorder="0" applyAlignment="0" applyProtection="0"/>
    <xf numFmtId="0" fontId="122" fillId="0" borderId="0"/>
    <xf numFmtId="0" fontId="122" fillId="0" borderId="0"/>
    <xf numFmtId="0" fontId="114" fillId="0" borderId="0"/>
    <xf numFmtId="43" fontId="123" fillId="0" borderId="0" applyFont="0" applyFill="0" applyBorder="0" applyAlignment="0" applyProtection="0"/>
    <xf numFmtId="44" fontId="123" fillId="0" borderId="0" applyFont="0" applyFill="0" applyBorder="0" applyAlignment="0" applyProtection="0"/>
    <xf numFmtId="0" fontId="113"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43" fontId="12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3" fillId="0" borderId="0" applyFont="0" applyFill="0" applyBorder="0" applyAlignment="0" applyProtection="0"/>
    <xf numFmtId="168" fontId="122" fillId="0" borderId="0" applyFont="0" applyFill="0" applyBorder="0" applyAlignment="0" applyProtection="0"/>
    <xf numFmtId="0" fontId="125" fillId="0" borderId="0" applyNumberForma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24" fillId="0" borderId="0"/>
    <xf numFmtId="0" fontId="113" fillId="0" borderId="0"/>
    <xf numFmtId="0" fontId="113" fillId="0" borderId="0"/>
    <xf numFmtId="0" fontId="113" fillId="0" borderId="0"/>
    <xf numFmtId="0" fontId="113" fillId="0" borderId="0"/>
    <xf numFmtId="0" fontId="124" fillId="0" borderId="0"/>
    <xf numFmtId="0" fontId="113" fillId="0" borderId="0"/>
    <xf numFmtId="0" fontId="113" fillId="0" borderId="0"/>
    <xf numFmtId="0" fontId="114" fillId="0" borderId="0"/>
    <xf numFmtId="9" fontId="114" fillId="0" borderId="0" applyFont="0" applyFill="0" applyBorder="0" applyAlignment="0" applyProtection="0"/>
    <xf numFmtId="0" fontId="113" fillId="0" borderId="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3"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9"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2"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7" fillId="15"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6"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3"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18"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8" fillId="23"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29" fillId="7" borderId="0" applyNumberFormat="0" applyBorder="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0" fillId="24" borderId="14"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0" fontId="131" fillId="25" borderId="15" applyNumberFormat="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2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4" fillId="0" borderId="16"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5" fillId="0" borderId="17"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18"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25" fillId="0" borderId="0" applyNumberFormat="0" applyFill="0" applyBorder="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39" fillId="11" borderId="14" applyNumberFormat="0" applyAlignment="0" applyProtection="0"/>
    <xf numFmtId="0" fontId="115" fillId="3" borderId="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14"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4"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4"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23" fillId="0" borderId="0"/>
    <xf numFmtId="0" fontId="114" fillId="0" borderId="0"/>
    <xf numFmtId="0" fontId="142"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26" fillId="27" borderId="20" applyNumberFormat="0" applyFon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0" fontId="143" fillId="24" borderId="21" applyNumberFormat="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9" fillId="0" borderId="0" applyNumberFormat="0" applyFont="0" applyFill="0" applyBorder="0" applyAlignment="0" applyProtection="0">
      <alignment horizontal="left"/>
    </xf>
    <xf numFmtId="0" fontId="119" fillId="0" borderId="0" applyNumberFormat="0" applyFont="0" applyFill="0" applyBorder="0" applyAlignment="0" applyProtection="0">
      <alignment horizontal="left"/>
    </xf>
    <xf numFmtId="15" fontId="119" fillId="0" borderId="0" applyFont="0" applyFill="0" applyBorder="0" applyAlignment="0" applyProtection="0"/>
    <xf numFmtId="15" fontId="119" fillId="0" borderId="0" applyFont="0" applyFill="0" applyBorder="0" applyAlignment="0" applyProtection="0"/>
    <xf numFmtId="4" fontId="119" fillId="0" borderId="0" applyFont="0" applyFill="0" applyBorder="0" applyAlignment="0" applyProtection="0"/>
    <xf numFmtId="4" fontId="119" fillId="0" borderId="0" applyFont="0" applyFill="0" applyBorder="0" applyAlignment="0" applyProtection="0"/>
    <xf numFmtId="0" fontId="120" fillId="0" borderId="1">
      <alignment horizontal="center"/>
    </xf>
    <xf numFmtId="0" fontId="120" fillId="0" borderId="1">
      <alignment horizontal="center"/>
    </xf>
    <xf numFmtId="3" fontId="119" fillId="0" borderId="0" applyFont="0" applyFill="0" applyBorder="0" applyAlignment="0" applyProtection="0"/>
    <xf numFmtId="3" fontId="119" fillId="0" borderId="0" applyFont="0" applyFill="0" applyBorder="0" applyAlignment="0" applyProtection="0"/>
    <xf numFmtId="0" fontId="119" fillId="2" borderId="0" applyNumberFormat="0" applyFont="0" applyBorder="0" applyAlignment="0" applyProtection="0"/>
    <xf numFmtId="0" fontId="119" fillId="2" borderId="0" applyNumberFormat="0" applyFon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5" fillId="0" borderId="22"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25" fillId="0" borderId="0" applyNumberFormat="0" applyFill="0" applyBorder="0" applyAlignment="0" applyProtection="0"/>
    <xf numFmtId="0" fontId="112" fillId="0" borderId="0"/>
    <xf numFmtId="44" fontId="114" fillId="0" borderId="0" applyFont="0" applyFill="0" applyBorder="0" applyAlignment="0" applyProtection="0"/>
    <xf numFmtId="9" fontId="112" fillId="0" borderId="0" applyFont="0" applyFill="0" applyBorder="0" applyAlignment="0" applyProtection="0"/>
    <xf numFmtId="0" fontId="114" fillId="0" borderId="0"/>
    <xf numFmtId="0" fontId="112" fillId="0" borderId="0"/>
    <xf numFmtId="0" fontId="111" fillId="0" borderId="0"/>
    <xf numFmtId="0" fontId="110" fillId="0" borderId="0"/>
    <xf numFmtId="0" fontId="147" fillId="0" borderId="0"/>
    <xf numFmtId="0" fontId="109" fillId="0" borderId="0"/>
    <xf numFmtId="9" fontId="109" fillId="0" borderId="0" applyFont="0" applyFill="0" applyBorder="0" applyAlignment="0" applyProtection="0"/>
    <xf numFmtId="0" fontId="109" fillId="0" borderId="0"/>
    <xf numFmtId="0" fontId="108" fillId="0" borderId="0"/>
    <xf numFmtId="9" fontId="108" fillId="0" borderId="0" applyFont="0" applyFill="0" applyBorder="0" applyAlignment="0" applyProtection="0"/>
    <xf numFmtId="0" fontId="108" fillId="0" borderId="0"/>
    <xf numFmtId="0" fontId="107" fillId="0" borderId="0"/>
    <xf numFmtId="9" fontId="107" fillId="0" borderId="0" applyFont="0" applyFill="0" applyBorder="0" applyAlignment="0" applyProtection="0"/>
    <xf numFmtId="0" fontId="107" fillId="0" borderId="0"/>
    <xf numFmtId="0" fontId="106" fillId="0" borderId="0"/>
    <xf numFmtId="9" fontId="106" fillId="0" borderId="0" applyFont="0" applyFill="0" applyBorder="0" applyAlignment="0" applyProtection="0"/>
    <xf numFmtId="0" fontId="106" fillId="0" borderId="0"/>
    <xf numFmtId="0" fontId="105" fillId="0" borderId="0"/>
    <xf numFmtId="9" fontId="105" fillId="0" borderId="0" applyFont="0" applyFill="0" applyBorder="0" applyAlignment="0" applyProtection="0"/>
    <xf numFmtId="0" fontId="105"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23"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48" fillId="0" borderId="0"/>
    <xf numFmtId="0" fontId="149" fillId="0" borderId="0"/>
    <xf numFmtId="0" fontId="103" fillId="0" borderId="0"/>
    <xf numFmtId="9" fontId="103"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9" fontId="102"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43" fontId="123" fillId="0" borderId="0" applyFont="0" applyFill="0" applyBorder="0" applyAlignment="0" applyProtection="0"/>
    <xf numFmtId="44" fontId="123" fillId="0" borderId="0" applyFont="0" applyFill="0" applyBorder="0" applyAlignment="0" applyProtection="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24" fillId="0" borderId="0"/>
    <xf numFmtId="0" fontId="101" fillId="0" borderId="0"/>
    <xf numFmtId="0" fontId="101" fillId="0" borderId="0"/>
    <xf numFmtId="0" fontId="101" fillId="0" borderId="0"/>
    <xf numFmtId="0" fontId="101" fillId="0" borderId="0"/>
    <xf numFmtId="0" fontId="124" fillId="0" borderId="0"/>
    <xf numFmtId="0" fontId="101" fillId="0" borderId="0"/>
    <xf numFmtId="0" fontId="101" fillId="0" borderId="0"/>
    <xf numFmtId="0" fontId="114" fillId="0" borderId="0"/>
    <xf numFmtId="9" fontId="114" fillId="0" borderId="0" applyFont="0" applyFill="0" applyBorder="0" applyAlignment="0" applyProtection="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42" fillId="0" borderId="0"/>
    <xf numFmtId="0" fontId="114"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14"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101" fillId="0" borderId="0"/>
    <xf numFmtId="9" fontId="101" fillId="0" borderId="0" applyFont="0" applyFill="0" applyBorder="0" applyAlignment="0" applyProtection="0"/>
    <xf numFmtId="0" fontId="101" fillId="0" borderId="0"/>
    <xf numFmtId="0" fontId="101" fillId="0" borderId="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01" fillId="0" borderId="0"/>
    <xf numFmtId="9" fontId="101" fillId="0" borderId="0" applyFont="0" applyFill="0" applyBorder="0" applyAlignment="0" applyProtection="0"/>
    <xf numFmtId="0" fontId="101" fillId="0" borderId="0"/>
    <xf numFmtId="0" fontId="123" fillId="0" borderId="0"/>
    <xf numFmtId="0" fontId="123" fillId="0" borderId="0"/>
    <xf numFmtId="0" fontId="101" fillId="0" borderId="0"/>
    <xf numFmtId="0" fontId="100" fillId="0" borderId="0"/>
    <xf numFmtId="9" fontId="100" fillId="0" borderId="0" applyFont="0" applyFill="0" applyBorder="0" applyAlignment="0" applyProtection="0"/>
    <xf numFmtId="0" fontId="100" fillId="0" borderId="0"/>
    <xf numFmtId="43" fontId="100" fillId="0" borderId="0" applyFont="0" applyFill="0" applyBorder="0" applyAlignment="0" applyProtection="0"/>
    <xf numFmtId="0" fontId="100" fillId="0" borderId="0"/>
    <xf numFmtId="9" fontId="100" fillId="0" borderId="0" applyFont="0" applyFill="0" applyBorder="0" applyAlignment="0" applyProtection="0"/>
    <xf numFmtId="0" fontId="100" fillId="0" borderId="0"/>
    <xf numFmtId="9" fontId="100" fillId="0" borderId="0" applyFont="0" applyFill="0" applyBorder="0" applyAlignment="0" applyProtection="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00" fillId="0" borderId="0"/>
    <xf numFmtId="9" fontId="100" fillId="0" borderId="0" applyFont="0" applyFill="0" applyBorder="0" applyAlignment="0" applyProtection="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00" fillId="0" borderId="0"/>
    <xf numFmtId="9" fontId="100" fillId="0" borderId="0" applyFont="0" applyFill="0" applyBorder="0" applyAlignment="0" applyProtection="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23" fillId="0" borderId="0" applyFont="0" applyFill="0" applyBorder="0" applyAlignment="0" applyProtection="0"/>
    <xf numFmtId="43" fontId="114" fillId="0" borderId="0" applyFont="0" applyFill="0" applyBorder="0" applyAlignment="0" applyProtection="0"/>
    <xf numFmtId="0" fontId="99" fillId="0" borderId="0"/>
    <xf numFmtId="0" fontId="98" fillId="0" borderId="0"/>
    <xf numFmtId="43" fontId="123" fillId="0" borderId="0" applyFont="0" applyFill="0" applyBorder="0" applyAlignment="0" applyProtection="0"/>
    <xf numFmtId="0" fontId="97" fillId="0" borderId="0"/>
    <xf numFmtId="0" fontId="114" fillId="0" borderId="0"/>
    <xf numFmtId="0" fontId="96" fillId="0" borderId="0"/>
    <xf numFmtId="0" fontId="181" fillId="0" borderId="0"/>
    <xf numFmtId="9" fontId="181"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9" fontId="94" fillId="0" borderId="0" applyFont="0" applyFill="0" applyBorder="0" applyAlignment="0" applyProtection="0"/>
    <xf numFmtId="0" fontId="93" fillId="0" borderId="0"/>
    <xf numFmtId="43" fontId="93" fillId="0" borderId="0" applyFont="0" applyFill="0" applyBorder="0" applyAlignment="0" applyProtection="0"/>
    <xf numFmtId="0" fontId="182" fillId="0" borderId="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80" fillId="0" borderId="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187" fillId="0" borderId="0"/>
    <xf numFmtId="0" fontId="76" fillId="0" borderId="0"/>
    <xf numFmtId="43" fontId="77"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0" fontId="70" fillId="0" borderId="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188" fillId="0" borderId="0"/>
    <xf numFmtId="0" fontId="65" fillId="0" borderId="0"/>
    <xf numFmtId="43" fontId="65" fillId="0" borderId="0" applyFont="0" applyFill="0" applyBorder="0" applyAlignment="0" applyProtection="0"/>
    <xf numFmtId="0" fontId="64"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0" fontId="58" fillId="0" borderId="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125" fillId="0" borderId="0" applyNumberFormat="0" applyFill="0" applyBorder="0" applyAlignment="0" applyProtection="0"/>
    <xf numFmtId="0" fontId="55" fillId="0" borderId="0"/>
    <xf numFmtId="43" fontId="55" fillId="0" borderId="0" applyFont="0" applyFill="0" applyBorder="0" applyAlignment="0" applyProtection="0"/>
    <xf numFmtId="0" fontId="54" fillId="0" borderId="0"/>
    <xf numFmtId="0" fontId="53" fillId="0" borderId="0"/>
    <xf numFmtId="0" fontId="192" fillId="0" borderId="0" applyNumberFormat="0" applyFill="0" applyBorder="0" applyAlignment="0" applyProtection="0"/>
    <xf numFmtId="0" fontId="52" fillId="0" borderId="0"/>
    <xf numFmtId="43" fontId="52" fillId="0" borderId="0" applyFont="0" applyFill="0" applyBorder="0" applyAlignment="0" applyProtection="0"/>
    <xf numFmtId="0" fontId="123" fillId="0" borderId="0"/>
    <xf numFmtId="0" fontId="193"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0" fontId="45" fillId="0" borderId="0"/>
    <xf numFmtId="0" fontId="45" fillId="0" borderId="0"/>
    <xf numFmtId="0" fontId="44" fillId="0" borderId="0"/>
    <xf numFmtId="43" fontId="44" fillId="0" borderId="0" applyFont="0" applyFill="0" applyBorder="0" applyAlignment="0" applyProtection="0"/>
    <xf numFmtId="0" fontId="43" fillId="0" borderId="0"/>
    <xf numFmtId="0" fontId="197" fillId="0" borderId="0"/>
    <xf numFmtId="0" fontId="42" fillId="0" borderId="0"/>
    <xf numFmtId="43" fontId="42" fillId="0" borderId="0" applyFont="0" applyFill="0" applyBorder="0" applyAlignment="0" applyProtection="0"/>
    <xf numFmtId="0" fontId="198" fillId="0" borderId="0"/>
    <xf numFmtId="0" fontId="41" fillId="0" borderId="0"/>
    <xf numFmtId="0" fontId="40" fillId="0" borderId="0"/>
    <xf numFmtId="43" fontId="40" fillId="0" borderId="0" applyFont="0" applyFill="0" applyBorder="0" applyAlignment="0" applyProtection="0"/>
    <xf numFmtId="0" fontId="39" fillId="0" borderId="0"/>
    <xf numFmtId="0" fontId="38" fillId="0" borderId="0"/>
    <xf numFmtId="43" fontId="38" fillId="0" borderId="0" applyFont="0" applyFill="0" applyBorder="0" applyAlignment="0" applyProtection="0"/>
    <xf numFmtId="0" fontId="199" fillId="0" borderId="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200" fillId="0" borderId="0"/>
    <xf numFmtId="0" fontId="35" fillId="0" borderId="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01" fillId="0" borderId="0"/>
    <xf numFmtId="0" fontId="27" fillId="0" borderId="0"/>
    <xf numFmtId="0" fontId="202" fillId="0" borderId="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03" fillId="0" borderId="0"/>
    <xf numFmtId="0" fontId="23" fillId="0" borderId="0"/>
    <xf numFmtId="43" fontId="23"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0" fontId="13" fillId="0" borderId="0"/>
    <xf numFmtId="0" fontId="208" fillId="0" borderId="0"/>
    <xf numFmtId="43" fontId="76"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0" borderId="0"/>
    <xf numFmtId="0" fontId="8" fillId="0" borderId="0"/>
    <xf numFmtId="43"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0" fontId="4"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660">
    <xf numFmtId="0" fontId="0" fillId="0" borderId="0" xfId="0"/>
    <xf numFmtId="0" fontId="121" fillId="0" borderId="0" xfId="0" applyFont="1" applyFill="1"/>
    <xf numFmtId="0" fontId="117" fillId="0" borderId="0" xfId="0" applyFont="1" applyFill="1" applyAlignment="1">
      <alignment horizontal="center"/>
    </xf>
    <xf numFmtId="0" fontId="114" fillId="0" borderId="0" xfId="0" applyFont="1"/>
    <xf numFmtId="0" fontId="151" fillId="0" borderId="0" xfId="0" applyFont="1" applyFill="1"/>
    <xf numFmtId="0" fontId="114" fillId="0" borderId="0" xfId="0" applyFont="1" applyFill="1"/>
    <xf numFmtId="3" fontId="114" fillId="0" borderId="0" xfId="0" applyNumberFormat="1" applyFont="1" applyFill="1"/>
    <xf numFmtId="0" fontId="121" fillId="0" borderId="0" xfId="0" applyFont="1"/>
    <xf numFmtId="0" fontId="152" fillId="0" borderId="0" xfId="3" applyFont="1" applyFill="1" applyAlignment="1">
      <alignment horizontal="center"/>
    </xf>
    <xf numFmtId="0" fontId="121" fillId="0" borderId="0" xfId="3" applyFont="1" applyFill="1"/>
    <xf numFmtId="0" fontId="151" fillId="0" borderId="0" xfId="3" applyFont="1" applyFill="1"/>
    <xf numFmtId="0" fontId="154" fillId="0" borderId="0" xfId="3" applyFont="1" applyFill="1"/>
    <xf numFmtId="49" fontId="154" fillId="0" borderId="0" xfId="3" applyNumberFormat="1" applyFont="1" applyFill="1" applyAlignment="1">
      <alignment horizontal="left" indent="1"/>
    </xf>
    <xf numFmtId="3" fontId="121" fillId="0" borderId="0" xfId="0" applyNumberFormat="1" applyFont="1" applyFill="1" applyAlignment="1"/>
    <xf numFmtId="3" fontId="121" fillId="0" borderId="0" xfId="0" applyNumberFormat="1" applyFont="1" applyFill="1"/>
    <xf numFmtId="0" fontId="156" fillId="0" borderId="0" xfId="0" applyFont="1" applyFill="1"/>
    <xf numFmtId="3" fontId="156" fillId="0" borderId="0" xfId="0" applyNumberFormat="1" applyFont="1" applyFill="1"/>
    <xf numFmtId="0" fontId="156" fillId="0" borderId="0" xfId="0" applyFont="1"/>
    <xf numFmtId="0" fontId="156" fillId="0" borderId="0" xfId="0" applyFont="1" applyFill="1" applyBorder="1"/>
    <xf numFmtId="0" fontId="155" fillId="5" borderId="24" xfId="3" applyFont="1" applyFill="1" applyBorder="1"/>
    <xf numFmtId="0" fontId="155" fillId="5" borderId="25" xfId="3" applyFont="1" applyFill="1" applyBorder="1" applyAlignment="1">
      <alignment horizontal="center" wrapText="1"/>
    </xf>
    <xf numFmtId="0" fontId="155" fillId="5" borderId="26" xfId="3" applyFont="1" applyFill="1" applyBorder="1" applyAlignment="1">
      <alignment horizontal="center"/>
    </xf>
    <xf numFmtId="38" fontId="156" fillId="0" borderId="28" xfId="1" applyNumberFormat="1" applyFont="1" applyBorder="1" applyAlignment="1">
      <alignment horizontal="right"/>
    </xf>
    <xf numFmtId="38" fontId="156" fillId="0" borderId="28" xfId="0" applyNumberFormat="1" applyFont="1" applyBorder="1"/>
    <xf numFmtId="0" fontId="156" fillId="0" borderId="30" xfId="0" applyFont="1" applyBorder="1"/>
    <xf numFmtId="0" fontId="155" fillId="5" borderId="28" xfId="3" applyFont="1" applyFill="1" applyBorder="1" applyAlignment="1">
      <alignment horizontal="center"/>
    </xf>
    <xf numFmtId="38" fontId="156" fillId="0" borderId="33" xfId="0" applyNumberFormat="1" applyFont="1" applyBorder="1"/>
    <xf numFmtId="0" fontId="156" fillId="0" borderId="0" xfId="3" applyFont="1" applyFill="1" applyAlignment="1">
      <alignment wrapText="1"/>
    </xf>
    <xf numFmtId="0" fontId="156" fillId="0" borderId="0" xfId="3" applyFont="1" applyFill="1"/>
    <xf numFmtId="43" fontId="159" fillId="0" borderId="0" xfId="1" applyFont="1" applyFill="1"/>
    <xf numFmtId="0" fontId="155" fillId="0" borderId="0" xfId="3" applyFont="1" applyFill="1"/>
    <xf numFmtId="0" fontId="155" fillId="0" borderId="0" xfId="3" applyFont="1" applyFill="1" applyBorder="1"/>
    <xf numFmtId="165" fontId="160" fillId="0" borderId="0" xfId="1" applyNumberFormat="1" applyFont="1" applyFill="1"/>
    <xf numFmtId="0" fontId="157" fillId="0" borderId="0" xfId="3" applyFont="1" applyFill="1"/>
    <xf numFmtId="0" fontId="158" fillId="0" borderId="0" xfId="3" applyFont="1" applyFill="1"/>
    <xf numFmtId="49" fontId="158" fillId="0" borderId="0" xfId="3" applyNumberFormat="1" applyFont="1" applyFill="1" applyAlignment="1">
      <alignment horizontal="left" wrapText="1"/>
    </xf>
    <xf numFmtId="49" fontId="156" fillId="0" borderId="0" xfId="3" applyNumberFormat="1" applyFont="1" applyFill="1" applyAlignment="1">
      <alignment horizontal="left" indent="1"/>
    </xf>
    <xf numFmtId="49" fontId="156" fillId="0" borderId="0" xfId="3" applyNumberFormat="1" applyFont="1" applyFill="1"/>
    <xf numFmtId="165" fontId="156" fillId="0" borderId="0" xfId="3" applyNumberFormat="1" applyFont="1" applyFill="1"/>
    <xf numFmtId="0" fontId="156" fillId="0" borderId="0" xfId="0" applyFont="1" applyFill="1" applyAlignment="1">
      <alignment horizontal="center"/>
    </xf>
    <xf numFmtId="3" fontId="156" fillId="0" borderId="0" xfId="0" applyNumberFormat="1" applyFont="1" applyFill="1" applyAlignment="1"/>
    <xf numFmtId="0" fontId="155" fillId="0" borderId="0" xfId="0" applyFont="1" applyFill="1" applyAlignment="1">
      <alignment horizontal="center"/>
    </xf>
    <xf numFmtId="0" fontId="158" fillId="0" borderId="0" xfId="0" applyFont="1"/>
    <xf numFmtId="0" fontId="153" fillId="0" borderId="0" xfId="3" applyFont="1" applyFill="1" applyAlignment="1">
      <alignment horizontal="centerContinuous"/>
    </xf>
    <xf numFmtId="165" fontId="161" fillId="0" borderId="0" xfId="1" applyNumberFormat="1" applyFont="1" applyFill="1" applyAlignment="1">
      <alignment horizontal="center"/>
    </xf>
    <xf numFmtId="0" fontId="161" fillId="0" borderId="0" xfId="3" applyFont="1" applyFill="1" applyAlignment="1">
      <alignment horizontal="center"/>
    </xf>
    <xf numFmtId="0" fontId="162" fillId="0" borderId="0" xfId="3" applyFont="1" applyFill="1"/>
    <xf numFmtId="0" fontId="117" fillId="0" borderId="0" xfId="3" applyFont="1" applyFill="1" applyAlignment="1">
      <alignment horizontal="centerContinuous"/>
    </xf>
    <xf numFmtId="165" fontId="163" fillId="0" borderId="0" xfId="1" applyNumberFormat="1" applyFont="1" applyFill="1" applyAlignment="1">
      <alignment horizontal="center"/>
    </xf>
    <xf numFmtId="0" fontId="163" fillId="0" borderId="0" xfId="3" applyFont="1" applyFill="1" applyAlignment="1">
      <alignment horizontal="center"/>
    </xf>
    <xf numFmtId="0" fontId="150" fillId="0" borderId="0" xfId="3" applyFont="1" applyFill="1"/>
    <xf numFmtId="0" fontId="158" fillId="0" borderId="29" xfId="0" applyFont="1" applyBorder="1"/>
    <xf numFmtId="0" fontId="158" fillId="0" borderId="2" xfId="0" applyFont="1" applyBorder="1"/>
    <xf numFmtId="0" fontId="158" fillId="0" borderId="27" xfId="0" applyFont="1" applyBorder="1"/>
    <xf numFmtId="0" fontId="158" fillId="0" borderId="0" xfId="0" applyFont="1" applyBorder="1"/>
    <xf numFmtId="0" fontId="157" fillId="5" borderId="27" xfId="3" applyFont="1" applyFill="1" applyBorder="1"/>
    <xf numFmtId="0" fontId="157" fillId="5" borderId="2" xfId="3" applyFont="1" applyFill="1" applyBorder="1" applyAlignment="1">
      <alignment horizontal="center" wrapText="1"/>
    </xf>
    <xf numFmtId="0" fontId="158" fillId="0" borderId="31" xfId="0" applyFont="1" applyBorder="1"/>
    <xf numFmtId="0" fontId="158" fillId="0" borderId="32" xfId="0" applyFont="1" applyBorder="1"/>
    <xf numFmtId="49" fontId="158" fillId="0" borderId="0" xfId="3" applyNumberFormat="1" applyFont="1" applyFill="1"/>
    <xf numFmtId="0" fontId="158" fillId="0" borderId="0" xfId="0" applyFont="1" applyFill="1"/>
    <xf numFmtId="5" fontId="156" fillId="0" borderId="0" xfId="0" applyNumberFormat="1" applyFont="1" applyFill="1" applyBorder="1" applyAlignment="1">
      <alignment vertical="center"/>
    </xf>
    <xf numFmtId="37" fontId="156" fillId="0" borderId="0" xfId="0" applyNumberFormat="1" applyFont="1" applyFill="1" applyBorder="1" applyAlignment="1">
      <alignment vertical="center"/>
    </xf>
    <xf numFmtId="0" fontId="151" fillId="0" borderId="0" xfId="0" applyFont="1" applyFill="1" applyAlignment="1">
      <alignment vertical="center"/>
    </xf>
    <xf numFmtId="43" fontId="121" fillId="0" borderId="0" xfId="1" applyFont="1" applyFill="1" applyAlignment="1">
      <alignment vertical="center"/>
    </xf>
    <xf numFmtId="0" fontId="121" fillId="0" borderId="0" xfId="0" applyFont="1" applyFill="1" applyAlignment="1">
      <alignment vertical="center"/>
    </xf>
    <xf numFmtId="43" fontId="114" fillId="0" borderId="0" xfId="1" applyFont="1" applyFill="1" applyAlignment="1">
      <alignment vertical="center"/>
    </xf>
    <xf numFmtId="0" fontId="114" fillId="0" borderId="0" xfId="0" applyFont="1" applyFill="1" applyAlignment="1">
      <alignment vertical="center"/>
    </xf>
    <xf numFmtId="43" fontId="156" fillId="0" borderId="0" xfId="1" applyFont="1" applyFill="1" applyAlignment="1">
      <alignment vertical="center"/>
    </xf>
    <xf numFmtId="0" fontId="156" fillId="0" borderId="0" xfId="0" applyFont="1" applyFill="1" applyAlignment="1">
      <alignment vertical="center"/>
    </xf>
    <xf numFmtId="5" fontId="165" fillId="0" borderId="0" xfId="0" applyNumberFormat="1" applyFont="1" applyFill="1" applyBorder="1" applyAlignment="1">
      <alignment vertical="center"/>
    </xf>
    <xf numFmtId="164" fontId="156" fillId="0" borderId="0" xfId="0" applyNumberFormat="1" applyFont="1" applyFill="1" applyBorder="1" applyAlignment="1">
      <alignment vertical="center"/>
    </xf>
    <xf numFmtId="37" fontId="165" fillId="0" borderId="0" xfId="0" applyNumberFormat="1" applyFont="1" applyFill="1" applyBorder="1" applyAlignment="1">
      <alignment vertical="center"/>
    </xf>
    <xf numFmtId="164" fontId="165" fillId="0" borderId="0" xfId="0" applyNumberFormat="1" applyFont="1" applyFill="1" applyBorder="1" applyAlignment="1">
      <alignment vertical="center"/>
    </xf>
    <xf numFmtId="0" fontId="156" fillId="0" borderId="0" xfId="0" applyFont="1" applyFill="1" applyBorder="1" applyAlignment="1">
      <alignment vertical="center"/>
    </xf>
    <xf numFmtId="3" fontId="156" fillId="0" borderId="0" xfId="0" applyNumberFormat="1" applyFont="1" applyFill="1" applyBorder="1" applyAlignment="1">
      <alignment vertical="center"/>
    </xf>
    <xf numFmtId="3" fontId="156" fillId="0" borderId="0" xfId="0" applyNumberFormat="1" applyFont="1" applyFill="1" applyAlignment="1">
      <alignment vertical="center"/>
    </xf>
    <xf numFmtId="3" fontId="156" fillId="0" borderId="0" xfId="0" applyNumberFormat="1" applyFont="1" applyFill="1" applyAlignment="1">
      <alignment horizontal="left" vertical="center"/>
    </xf>
    <xf numFmtId="3" fontId="114" fillId="0" borderId="0" xfId="0" applyNumberFormat="1" applyFont="1" applyFill="1" applyAlignment="1">
      <alignment vertical="center"/>
    </xf>
    <xf numFmtId="3" fontId="114" fillId="0" borderId="0" xfId="0" applyNumberFormat="1" applyFont="1" applyFill="1" applyAlignment="1">
      <alignment horizontal="left" vertical="center"/>
    </xf>
    <xf numFmtId="0" fontId="164" fillId="4" borderId="13" xfId="0" applyFont="1" applyFill="1" applyBorder="1" applyAlignment="1">
      <alignment vertical="center"/>
    </xf>
    <xf numFmtId="0" fontId="156" fillId="0" borderId="0" xfId="0" applyFont="1" applyFill="1" applyAlignment="1">
      <alignment horizontal="left" vertical="center"/>
    </xf>
    <xf numFmtId="164" fontId="155" fillId="0" borderId="0" xfId="0" applyNumberFormat="1" applyFont="1" applyFill="1" applyAlignment="1">
      <alignment horizontal="left" vertical="center"/>
    </xf>
    <xf numFmtId="3" fontId="170" fillId="0" borderId="0" xfId="0" applyNumberFormat="1" applyFont="1" applyFill="1"/>
    <xf numFmtId="41" fontId="168" fillId="0" borderId="0" xfId="4300" applyNumberFormat="1" applyFont="1"/>
    <xf numFmtId="41" fontId="168" fillId="0" borderId="0" xfId="50939" applyNumberFormat="1" applyFont="1" applyAlignment="1"/>
    <xf numFmtId="41" fontId="166" fillId="0" borderId="0" xfId="50939" applyNumberFormat="1" applyFont="1" applyFill="1" applyBorder="1" applyAlignment="1"/>
    <xf numFmtId="41" fontId="166" fillId="0" borderId="0" xfId="50939" applyNumberFormat="1" applyFont="1" applyBorder="1" applyAlignment="1"/>
    <xf numFmtId="41" fontId="166" fillId="0" borderId="12" xfId="50939" applyNumberFormat="1" applyFont="1" applyBorder="1" applyAlignment="1"/>
    <xf numFmtId="41" fontId="168" fillId="0" borderId="0" xfId="4300" applyNumberFormat="1" applyFont="1" applyFill="1" applyAlignment="1">
      <alignment horizontal="left"/>
    </xf>
    <xf numFmtId="165" fontId="168" fillId="0" borderId="0" xfId="1" applyNumberFormat="1" applyFont="1" applyAlignment="1"/>
    <xf numFmtId="0" fontId="168" fillId="0" borderId="0" xfId="50939" applyFont="1" applyAlignment="1"/>
    <xf numFmtId="169" fontId="168" fillId="0" borderId="0" xfId="50939" applyNumberFormat="1" applyFont="1" applyAlignment="1"/>
    <xf numFmtId="41" fontId="168" fillId="0" borderId="0" xfId="16" applyNumberFormat="1" applyFont="1"/>
    <xf numFmtId="41" fontId="168" fillId="0" borderId="0" xfId="16" quotePrefix="1" applyNumberFormat="1" applyFont="1" applyAlignment="1">
      <alignment horizontal="center"/>
    </xf>
    <xf numFmtId="0" fontId="168" fillId="0" borderId="0" xfId="50939" applyFont="1" applyAlignment="1">
      <alignment horizontal="left"/>
    </xf>
    <xf numFmtId="165" fontId="168" fillId="0" borderId="0" xfId="2234" applyNumberFormat="1" applyFont="1" applyAlignment="1"/>
    <xf numFmtId="0" fontId="168" fillId="0" borderId="0" xfId="4300" applyFont="1" applyBorder="1"/>
    <xf numFmtId="41" fontId="168" fillId="0" borderId="0" xfId="16" applyNumberFormat="1" applyFont="1" applyAlignment="1"/>
    <xf numFmtId="0" fontId="166" fillId="0" borderId="0" xfId="50939" applyFont="1" applyAlignment="1"/>
    <xf numFmtId="0" fontId="168" fillId="0" borderId="0" xfId="4300" applyFont="1"/>
    <xf numFmtId="8" fontId="168" fillId="0" borderId="0" xfId="4300" applyNumberFormat="1" applyFont="1"/>
    <xf numFmtId="0" fontId="168" fillId="0" borderId="0" xfId="50939" applyFont="1" applyFill="1" applyAlignment="1"/>
    <xf numFmtId="165" fontId="168" fillId="0" borderId="0" xfId="1" applyNumberFormat="1" applyFont="1" applyFill="1" applyAlignment="1"/>
    <xf numFmtId="165" fontId="168" fillId="0" borderId="0" xfId="2234" applyNumberFormat="1" applyFont="1" applyFill="1" applyAlignment="1"/>
    <xf numFmtId="166" fontId="156" fillId="0" borderId="0" xfId="3" applyNumberFormat="1" applyFont="1" applyFill="1"/>
    <xf numFmtId="43" fontId="172" fillId="0" borderId="0" xfId="1" applyFont="1" applyFill="1" applyAlignment="1">
      <alignment horizontal="center" vertical="center"/>
    </xf>
    <xf numFmtId="43" fontId="168" fillId="0" borderId="0" xfId="1" applyFont="1" applyFill="1" applyAlignment="1">
      <alignment vertical="center"/>
    </xf>
    <xf numFmtId="0" fontId="166" fillId="3" borderId="11" xfId="0" applyFont="1" applyFill="1" applyBorder="1" applyAlignment="1">
      <alignment vertical="center"/>
    </xf>
    <xf numFmtId="0" fontId="166" fillId="3" borderId="34" xfId="0" applyFont="1" applyFill="1" applyBorder="1" applyAlignment="1">
      <alignment horizontal="center" vertical="center"/>
    </xf>
    <xf numFmtId="3" fontId="166" fillId="3" borderId="2" xfId="0" applyNumberFormat="1" applyFont="1" applyFill="1" applyBorder="1" applyAlignment="1">
      <alignment horizontal="center" vertical="center" wrapText="1"/>
    </xf>
    <xf numFmtId="3" fontId="166" fillId="3" borderId="2" xfId="0" applyNumberFormat="1" applyFont="1" applyFill="1" applyBorder="1" applyAlignment="1">
      <alignment horizontal="center" vertical="center"/>
    </xf>
    <xf numFmtId="5" fontId="169" fillId="0" borderId="0" xfId="10" applyNumberFormat="1" applyFont="1" applyFill="1" applyBorder="1" applyAlignment="1">
      <alignment horizontal="left" vertical="center"/>
    </xf>
    <xf numFmtId="5" fontId="169" fillId="0" borderId="0" xfId="10" applyNumberFormat="1" applyFont="1" applyFill="1" applyBorder="1" applyAlignment="1">
      <alignment vertical="center"/>
    </xf>
    <xf numFmtId="42" fontId="168" fillId="0" borderId="0" xfId="1" applyNumberFormat="1" applyFont="1" applyFill="1" applyBorder="1" applyAlignment="1">
      <alignment horizontal="left" vertical="center"/>
    </xf>
    <xf numFmtId="42" fontId="168" fillId="0" borderId="0" xfId="1" applyNumberFormat="1" applyFont="1" applyFill="1" applyBorder="1" applyAlignment="1">
      <alignment horizontal="center" vertical="center"/>
    </xf>
    <xf numFmtId="42" fontId="168" fillId="0" borderId="0" xfId="1" applyNumberFormat="1" applyFont="1" applyBorder="1" applyAlignment="1">
      <alignment horizontal="center" vertical="center"/>
    </xf>
    <xf numFmtId="165" fontId="168" fillId="0" borderId="0" xfId="1" applyNumberFormat="1" applyFont="1" applyFill="1" applyBorder="1" applyAlignment="1">
      <alignment vertical="center"/>
    </xf>
    <xf numFmtId="164" fontId="166" fillId="0" borderId="4" xfId="10" applyNumberFormat="1" applyFont="1" applyFill="1" applyBorder="1" applyAlignment="1">
      <alignment horizontal="left" vertical="center"/>
    </xf>
    <xf numFmtId="0" fontId="168" fillId="0" borderId="9" xfId="10" applyFont="1" applyBorder="1" applyAlignment="1">
      <alignment horizontal="center" vertical="center"/>
    </xf>
    <xf numFmtId="42" fontId="166" fillId="0" borderId="2" xfId="1" applyNumberFormat="1" applyFont="1" applyFill="1" applyBorder="1" applyAlignment="1">
      <alignment horizontal="left" vertical="center"/>
    </xf>
    <xf numFmtId="42" fontId="166" fillId="0" borderId="2" xfId="1" applyNumberFormat="1" applyFont="1" applyFill="1" applyBorder="1" applyAlignment="1">
      <alignment horizontal="center" vertical="center"/>
    </xf>
    <xf numFmtId="37" fontId="169" fillId="0" borderId="0" xfId="10" applyNumberFormat="1" applyFont="1" applyFill="1" applyBorder="1" applyAlignment="1">
      <alignment horizontal="left" vertical="center"/>
    </xf>
    <xf numFmtId="0" fontId="169" fillId="0" borderId="0" xfId="10" applyFont="1" applyFill="1" applyBorder="1" applyAlignment="1">
      <alignment vertical="center"/>
    </xf>
    <xf numFmtId="37" fontId="166" fillId="0" borderId="4" xfId="10" applyNumberFormat="1" applyFont="1" applyFill="1" applyBorder="1" applyAlignment="1">
      <alignment horizontal="left" vertical="center"/>
    </xf>
    <xf numFmtId="37" fontId="169" fillId="0" borderId="0" xfId="10" applyNumberFormat="1" applyFont="1" applyFill="1" applyBorder="1" applyAlignment="1">
      <alignment vertical="center"/>
    </xf>
    <xf numFmtId="0" fontId="169" fillId="0" borderId="0" xfId="10" applyFont="1" applyFill="1" applyBorder="1" applyAlignment="1">
      <alignment horizontal="left" vertical="center"/>
    </xf>
    <xf numFmtId="164" fontId="166" fillId="0" borderId="0" xfId="10" applyNumberFormat="1" applyFont="1" applyFill="1" applyBorder="1" applyAlignment="1">
      <alignment horizontal="left" vertical="center"/>
    </xf>
    <xf numFmtId="0" fontId="168" fillId="0" borderId="0" xfId="10" applyFont="1" applyBorder="1" applyAlignment="1">
      <alignment horizontal="center" vertical="center"/>
    </xf>
    <xf numFmtId="42" fontId="166" fillId="0" borderId="0" xfId="1" applyNumberFormat="1" applyFont="1" applyFill="1" applyBorder="1" applyAlignment="1">
      <alignment horizontal="left" vertical="center"/>
    </xf>
    <xf numFmtId="42" fontId="166" fillId="0" borderId="0" xfId="1" applyNumberFormat="1" applyFont="1" applyFill="1" applyBorder="1" applyAlignment="1">
      <alignment horizontal="center" vertical="center"/>
    </xf>
    <xf numFmtId="164" fontId="166" fillId="0" borderId="35" xfId="10" applyNumberFormat="1" applyFont="1" applyFill="1" applyBorder="1" applyAlignment="1">
      <alignment horizontal="left" vertical="center"/>
    </xf>
    <xf numFmtId="164" fontId="168" fillId="0" borderId="36" xfId="10" applyNumberFormat="1" applyFont="1" applyFill="1" applyBorder="1" applyAlignment="1">
      <alignment vertical="center"/>
    </xf>
    <xf numFmtId="42" fontId="166" fillId="0" borderId="38" xfId="1" applyNumberFormat="1" applyFont="1" applyFill="1" applyBorder="1" applyAlignment="1">
      <alignment horizontal="left" vertical="center"/>
    </xf>
    <xf numFmtId="0" fontId="171" fillId="0" borderId="0" xfId="10" applyFont="1" applyFill="1" applyBorder="1" applyAlignment="1">
      <alignment horizontal="left" vertical="center"/>
    </xf>
    <xf numFmtId="0" fontId="173" fillId="0" borderId="0" xfId="10" applyFont="1" applyFill="1" applyBorder="1" applyAlignment="1">
      <alignment horizontal="left" vertical="center"/>
    </xf>
    <xf numFmtId="164" fontId="169" fillId="0" borderId="0" xfId="10" applyNumberFormat="1" applyFont="1" applyFill="1" applyBorder="1" applyAlignment="1">
      <alignment horizontal="left" vertical="center"/>
    </xf>
    <xf numFmtId="164" fontId="169" fillId="0" borderId="0" xfId="10" applyNumberFormat="1" applyFont="1" applyFill="1" applyBorder="1" applyAlignment="1">
      <alignment horizontal="center" vertical="center"/>
    </xf>
    <xf numFmtId="164" fontId="168" fillId="0" borderId="12" xfId="10" applyNumberFormat="1" applyFont="1" applyFill="1" applyBorder="1" applyAlignment="1">
      <alignment vertical="center"/>
    </xf>
    <xf numFmtId="0" fontId="121" fillId="0" borderId="0" xfId="0" applyFont="1" applyFill="1" applyBorder="1" applyAlignment="1">
      <alignment vertical="center"/>
    </xf>
    <xf numFmtId="3" fontId="121" fillId="0" borderId="0" xfId="0" applyNumberFormat="1" applyFont="1" applyFill="1" applyBorder="1" applyAlignment="1">
      <alignment vertical="center"/>
    </xf>
    <xf numFmtId="3" fontId="121" fillId="0" borderId="0" xfId="0" applyNumberFormat="1" applyFont="1" applyFill="1" applyBorder="1" applyAlignment="1">
      <alignment horizontal="left" vertical="center"/>
    </xf>
    <xf numFmtId="43" fontId="121" fillId="0" borderId="0" xfId="1" applyFont="1" applyFill="1" applyBorder="1" applyAlignment="1">
      <alignment vertical="center"/>
    </xf>
    <xf numFmtId="3" fontId="121" fillId="0" borderId="0" xfId="0" applyNumberFormat="1" applyFont="1" applyFill="1" applyAlignment="1">
      <alignment vertical="center"/>
    </xf>
    <xf numFmtId="3" fontId="121" fillId="0" borderId="0" xfId="0" applyNumberFormat="1" applyFont="1" applyFill="1" applyAlignment="1">
      <alignment horizontal="left" vertical="center"/>
    </xf>
    <xf numFmtId="0" fontId="166" fillId="0" borderId="0" xfId="0" applyFont="1" applyFill="1" applyAlignment="1">
      <alignment vertical="center"/>
    </xf>
    <xf numFmtId="0" fontId="168" fillId="0" borderId="0" xfId="0" applyFont="1" applyFill="1" applyAlignment="1">
      <alignment vertical="center"/>
    </xf>
    <xf numFmtId="3" fontId="168" fillId="0" borderId="0" xfId="0" applyNumberFormat="1" applyFont="1" applyFill="1" applyAlignment="1">
      <alignment vertical="center"/>
    </xf>
    <xf numFmtId="3" fontId="168" fillId="0" borderId="0" xfId="0" applyNumberFormat="1" applyFont="1" applyFill="1" applyAlignment="1">
      <alignment horizontal="left" vertical="center"/>
    </xf>
    <xf numFmtId="0" fontId="168" fillId="0" borderId="0" xfId="0" applyFont="1" applyFill="1" applyAlignment="1">
      <alignment vertical="top" wrapText="1"/>
    </xf>
    <xf numFmtId="0" fontId="171" fillId="0" borderId="0" xfId="0" applyFont="1" applyFill="1" applyBorder="1" applyAlignment="1">
      <alignment horizontal="centerContinuous"/>
    </xf>
    <xf numFmtId="0" fontId="166" fillId="0" borderId="0" xfId="0" applyFont="1" applyFill="1" applyBorder="1" applyAlignment="1">
      <alignment horizontal="centerContinuous"/>
    </xf>
    <xf numFmtId="0" fontId="168" fillId="0" borderId="0" xfId="0" applyFont="1" applyFill="1"/>
    <xf numFmtId="0" fontId="166" fillId="0" borderId="0" xfId="0" applyFont="1" applyFill="1" applyAlignment="1">
      <alignment horizontal="center"/>
    </xf>
    <xf numFmtId="3" fontId="168" fillId="0" borderId="0" xfId="0" applyNumberFormat="1" applyFont="1" applyFill="1" applyAlignment="1"/>
    <xf numFmtId="3" fontId="168" fillId="0" borderId="0" xfId="0" applyNumberFormat="1" applyFont="1" applyFill="1"/>
    <xf numFmtId="0" fontId="166" fillId="3" borderId="8" xfId="0" applyFont="1" applyFill="1" applyBorder="1"/>
    <xf numFmtId="3" fontId="166" fillId="3" borderId="8" xfId="0" applyNumberFormat="1" applyFont="1" applyFill="1" applyBorder="1" applyAlignment="1">
      <alignment horizontal="center"/>
    </xf>
    <xf numFmtId="3" fontId="166" fillId="5" borderId="6" xfId="0" applyNumberFormat="1" applyFont="1" applyFill="1" applyBorder="1" applyAlignment="1">
      <alignment horizontal="center"/>
    </xf>
    <xf numFmtId="3" fontId="166" fillId="3" borderId="6" xfId="0" applyNumberFormat="1" applyFont="1" applyFill="1" applyBorder="1" applyAlignment="1">
      <alignment horizontal="center"/>
    </xf>
    <xf numFmtId="0" fontId="166" fillId="3" borderId="11" xfId="11" applyFont="1" applyFill="1" applyBorder="1" applyAlignment="1">
      <alignment horizontal="center"/>
    </xf>
    <xf numFmtId="3" fontId="166" fillId="3" borderId="11" xfId="11" applyNumberFormat="1" applyFont="1" applyFill="1" applyBorder="1" applyAlignment="1">
      <alignment horizontal="center"/>
    </xf>
    <xf numFmtId="3" fontId="166" fillId="3" borderId="23" xfId="11" applyNumberFormat="1" applyFont="1" applyFill="1" applyBorder="1" applyAlignment="1">
      <alignment horizontal="center"/>
    </xf>
    <xf numFmtId="3" fontId="166" fillId="5" borderId="23" xfId="11" applyNumberFormat="1" applyFont="1" applyFill="1" applyBorder="1" applyAlignment="1">
      <alignment horizontal="center"/>
    </xf>
    <xf numFmtId="3" fontId="166" fillId="3" borderId="23" xfId="0" applyNumberFormat="1" applyFont="1" applyFill="1" applyBorder="1" applyAlignment="1">
      <alignment horizontal="center"/>
    </xf>
    <xf numFmtId="0" fontId="166" fillId="0" borderId="0" xfId="11" applyFont="1" applyFill="1" applyBorder="1" applyAlignment="1">
      <alignment horizontal="center"/>
    </xf>
    <xf numFmtId="3" fontId="166" fillId="0" borderId="0" xfId="11" applyNumberFormat="1" applyFont="1" applyFill="1" applyBorder="1" applyAlignment="1">
      <alignment horizontal="center"/>
    </xf>
    <xf numFmtId="3" fontId="166" fillId="0" borderId="0" xfId="0" applyNumberFormat="1" applyFont="1" applyFill="1" applyBorder="1" applyAlignment="1">
      <alignment horizontal="center"/>
    </xf>
    <xf numFmtId="0" fontId="169" fillId="0" borderId="0" xfId="10" applyFont="1" applyFill="1" applyBorder="1" applyAlignment="1">
      <alignment horizontal="left"/>
    </xf>
    <xf numFmtId="3" fontId="169" fillId="0" borderId="0" xfId="10" quotePrefix="1" applyNumberFormat="1" applyFont="1" applyFill="1" applyBorder="1" applyAlignment="1">
      <alignment horizontal="center"/>
    </xf>
    <xf numFmtId="42" fontId="168" fillId="0" borderId="0" xfId="0" applyNumberFormat="1" applyFont="1" applyFill="1" applyBorder="1" applyAlignment="1"/>
    <xf numFmtId="43" fontId="168" fillId="0" borderId="0" xfId="1" applyFont="1" applyFill="1"/>
    <xf numFmtId="1" fontId="169" fillId="0" borderId="0" xfId="10" quotePrefix="1" applyNumberFormat="1" applyFont="1" applyFill="1" applyBorder="1" applyAlignment="1">
      <alignment horizontal="center"/>
    </xf>
    <xf numFmtId="164" fontId="166" fillId="0" borderId="4" xfId="10" applyNumberFormat="1" applyFont="1" applyFill="1" applyBorder="1" applyAlignment="1">
      <alignment horizontal="left" indent="3"/>
    </xf>
    <xf numFmtId="164" fontId="171" fillId="0" borderId="9" xfId="10" quotePrefix="1" applyNumberFormat="1" applyFont="1" applyFill="1" applyBorder="1" applyAlignment="1">
      <alignment horizontal="center"/>
    </xf>
    <xf numFmtId="42" fontId="166" fillId="0" borderId="2" xfId="0" applyNumberFormat="1" applyFont="1" applyFill="1" applyBorder="1" applyAlignment="1"/>
    <xf numFmtId="164" fontId="171" fillId="0" borderId="0" xfId="10" applyNumberFormat="1" applyFont="1" applyFill="1" applyBorder="1" applyAlignment="1">
      <alignment horizontal="left" indent="3"/>
    </xf>
    <xf numFmtId="164" fontId="171" fillId="0" borderId="0" xfId="10" quotePrefix="1" applyNumberFormat="1" applyFont="1" applyFill="1" applyBorder="1" applyAlignment="1">
      <alignment horizontal="center"/>
    </xf>
    <xf numFmtId="42" fontId="166" fillId="0" borderId="0" xfId="0" applyNumberFormat="1" applyFont="1" applyFill="1" applyBorder="1" applyAlignment="1"/>
    <xf numFmtId="0" fontId="169" fillId="0" borderId="0" xfId="0" applyFont="1" applyFill="1" applyBorder="1" applyAlignment="1">
      <alignment horizontal="left"/>
    </xf>
    <xf numFmtId="3" fontId="169" fillId="0" borderId="0" xfId="0" quotePrefix="1" applyNumberFormat="1" applyFont="1" applyFill="1" applyBorder="1" applyAlignment="1">
      <alignment horizontal="center"/>
    </xf>
    <xf numFmtId="164" fontId="171" fillId="0" borderId="9" xfId="10" applyNumberFormat="1" applyFont="1" applyFill="1" applyBorder="1" applyAlignment="1">
      <alignment horizontal="center"/>
    </xf>
    <xf numFmtId="164" fontId="171" fillId="0" borderId="0" xfId="10" applyNumberFormat="1" applyFont="1" applyFill="1" applyBorder="1" applyAlignment="1">
      <alignment horizontal="center"/>
    </xf>
    <xf numFmtId="0" fontId="169" fillId="0" borderId="0" xfId="10" applyFont="1" applyBorder="1"/>
    <xf numFmtId="0" fontId="169" fillId="0" borderId="0" xfId="10" quotePrefix="1" applyFont="1" applyBorder="1" applyAlignment="1">
      <alignment horizontal="center"/>
    </xf>
    <xf numFmtId="0" fontId="169" fillId="0" borderId="0" xfId="10" applyFont="1" applyBorder="1" applyAlignment="1">
      <alignment horizontal="center"/>
    </xf>
    <xf numFmtId="164" fontId="169" fillId="0" borderId="0" xfId="10" applyNumberFormat="1" applyFont="1" applyFill="1" applyBorder="1" applyAlignment="1">
      <alignment horizontal="left"/>
    </xf>
    <xf numFmtId="164" fontId="169" fillId="0" borderId="0" xfId="10" quotePrefix="1" applyNumberFormat="1" applyFont="1" applyFill="1" applyBorder="1" applyAlignment="1">
      <alignment horizontal="center"/>
    </xf>
    <xf numFmtId="0" fontId="169" fillId="0" borderId="0" xfId="10" applyFont="1" applyFill="1" applyBorder="1"/>
    <xf numFmtId="0" fontId="169" fillId="0" borderId="0" xfId="10" quotePrefix="1" applyFont="1" applyFill="1" applyBorder="1" applyAlignment="1">
      <alignment horizontal="center"/>
    </xf>
    <xf numFmtId="0" fontId="169" fillId="0" borderId="0" xfId="10" applyFont="1" applyBorder="1" applyAlignment="1">
      <alignment horizontal="center" wrapText="1"/>
    </xf>
    <xf numFmtId="42" fontId="166" fillId="0" borderId="9" xfId="0" applyNumberFormat="1" applyFont="1" applyFill="1" applyBorder="1" applyAlignment="1"/>
    <xf numFmtId="0" fontId="169" fillId="0" borderId="0" xfId="10" applyFont="1" applyBorder="1" applyAlignment="1">
      <alignment horizontal="left"/>
    </xf>
    <xf numFmtId="164" fontId="166" fillId="0" borderId="9" xfId="10" applyNumberFormat="1" applyFont="1" applyFill="1" applyBorder="1" applyAlignment="1">
      <alignment horizontal="center"/>
    </xf>
    <xf numFmtId="164" fontId="166" fillId="0" borderId="0" xfId="10" applyNumberFormat="1" applyFont="1" applyFill="1" applyBorder="1" applyAlignment="1">
      <alignment horizontal="left" indent="3"/>
    </xf>
    <xf numFmtId="164" fontId="166" fillId="0" borderId="0" xfId="10" applyNumberFormat="1" applyFont="1" applyFill="1" applyBorder="1" applyAlignment="1">
      <alignment horizontal="center"/>
    </xf>
    <xf numFmtId="164" fontId="166" fillId="0" borderId="35" xfId="10" applyNumberFormat="1" applyFont="1" applyFill="1" applyBorder="1"/>
    <xf numFmtId="164" fontId="166" fillId="0" borderId="36" xfId="10" applyNumberFormat="1" applyFont="1" applyFill="1" applyBorder="1" applyAlignment="1">
      <alignment horizontal="center"/>
    </xf>
    <xf numFmtId="42" fontId="166" fillId="0" borderId="36" xfId="0" applyNumberFormat="1" applyFont="1" applyFill="1" applyBorder="1" applyAlignment="1"/>
    <xf numFmtId="42" fontId="166" fillId="0" borderId="38" xfId="0" applyNumberFormat="1" applyFont="1" applyFill="1" applyBorder="1" applyAlignment="1"/>
    <xf numFmtId="0" fontId="171" fillId="0" borderId="0" xfId="0" applyFont="1" applyFill="1" applyAlignment="1">
      <alignment horizontal="centerContinuous"/>
    </xf>
    <xf numFmtId="0" fontId="166" fillId="0" borderId="0" xfId="0" applyFont="1" applyFill="1" applyAlignment="1">
      <alignment horizontal="centerContinuous"/>
    </xf>
    <xf numFmtId="0" fontId="168" fillId="5" borderId="10" xfId="0" applyFont="1" applyFill="1" applyBorder="1" applyAlignment="1">
      <alignment horizontal="center"/>
    </xf>
    <xf numFmtId="0" fontId="168" fillId="5" borderId="6" xfId="0" applyFont="1" applyFill="1" applyBorder="1" applyAlignment="1"/>
    <xf numFmtId="0" fontId="168" fillId="5" borderId="6" xfId="0" applyFont="1" applyFill="1" applyBorder="1" applyAlignment="1">
      <alignment horizontal="center"/>
    </xf>
    <xf numFmtId="0" fontId="168" fillId="5" borderId="7" xfId="0" applyFont="1" applyFill="1" applyBorder="1" applyAlignment="1">
      <alignment horizontal="center"/>
    </xf>
    <xf numFmtId="0" fontId="171" fillId="3" borderId="11" xfId="0" applyFont="1" applyFill="1" applyBorder="1" applyAlignment="1">
      <alignment horizontal="center" vertical="center"/>
    </xf>
    <xf numFmtId="0" fontId="171" fillId="3" borderId="3" xfId="0" applyFont="1" applyFill="1" applyBorder="1" applyAlignment="1">
      <alignment horizontal="center" vertical="center"/>
    </xf>
    <xf numFmtId="3" fontId="166" fillId="3" borderId="23" xfId="0" applyNumberFormat="1" applyFont="1" applyFill="1" applyBorder="1" applyAlignment="1">
      <alignment horizontal="center" vertical="center"/>
    </xf>
    <xf numFmtId="3" fontId="171" fillId="3" borderId="3" xfId="0" applyNumberFormat="1" applyFont="1" applyFill="1" applyBorder="1" applyAlignment="1">
      <alignment horizontal="center" vertical="center" wrapText="1"/>
    </xf>
    <xf numFmtId="3" fontId="166" fillId="3" borderId="3" xfId="0" applyNumberFormat="1" applyFont="1" applyFill="1" applyBorder="1" applyAlignment="1">
      <alignment horizontal="center" vertical="center" wrapText="1"/>
    </xf>
    <xf numFmtId="3" fontId="166" fillId="3" borderId="12" xfId="0" applyNumberFormat="1" applyFont="1" applyFill="1" applyBorder="1" applyAlignment="1">
      <alignment horizontal="center" vertical="center" wrapText="1"/>
    </xf>
    <xf numFmtId="3" fontId="166" fillId="3" borderId="23" xfId="0" applyNumberFormat="1" applyFont="1" applyFill="1" applyBorder="1" applyAlignment="1">
      <alignment horizontal="center" vertical="center" wrapText="1"/>
    </xf>
    <xf numFmtId="3" fontId="166" fillId="3" borderId="34" xfId="0" applyNumberFormat="1" applyFont="1" applyFill="1" applyBorder="1" applyAlignment="1">
      <alignment horizontal="center" vertical="center" wrapText="1"/>
    </xf>
    <xf numFmtId="0" fontId="171" fillId="0" borderId="0" xfId="0" applyFont="1" applyFill="1" applyBorder="1" applyAlignment="1">
      <alignment horizontal="center" vertical="center"/>
    </xf>
    <xf numFmtId="3" fontId="166" fillId="0" borderId="0" xfId="0" applyNumberFormat="1" applyFont="1" applyFill="1" applyBorder="1" applyAlignment="1">
      <alignment horizontal="center" vertical="center"/>
    </xf>
    <xf numFmtId="3" fontId="171" fillId="0" borderId="0" xfId="0" applyNumberFormat="1" applyFont="1" applyFill="1" applyBorder="1" applyAlignment="1">
      <alignment horizontal="center" vertical="center" wrapText="1"/>
    </xf>
    <xf numFmtId="3" fontId="166" fillId="0" borderId="0" xfId="0" applyNumberFormat="1" applyFont="1" applyFill="1" applyBorder="1" applyAlignment="1">
      <alignment horizontal="center" vertical="center" wrapText="1"/>
    </xf>
    <xf numFmtId="42" fontId="168" fillId="0" borderId="0" xfId="0" applyNumberFormat="1" applyFont="1" applyFill="1" applyBorder="1" applyAlignment="1">
      <alignment horizontal="right" vertical="center"/>
    </xf>
    <xf numFmtId="42" fontId="166" fillId="0" borderId="2" xfId="0" applyNumberFormat="1" applyFont="1" applyFill="1" applyBorder="1" applyAlignment="1">
      <alignment horizontal="right" vertical="center"/>
    </xf>
    <xf numFmtId="5" fontId="166" fillId="0" borderId="0" xfId="0" applyNumberFormat="1" applyFont="1" applyFill="1" applyBorder="1" applyAlignment="1">
      <alignment horizontal="left" vertical="center"/>
    </xf>
    <xf numFmtId="37" fontId="166" fillId="0" borderId="0" xfId="0" applyNumberFormat="1" applyFont="1" applyFill="1" applyBorder="1" applyAlignment="1">
      <alignment horizontal="left" vertical="center"/>
    </xf>
    <xf numFmtId="164" fontId="171" fillId="0" borderId="37" xfId="10" applyNumberFormat="1" applyFont="1" applyFill="1" applyBorder="1" applyAlignment="1">
      <alignment horizontal="left" vertical="center"/>
    </xf>
    <xf numFmtId="42" fontId="166" fillId="0" borderId="37" xfId="0" applyNumberFormat="1" applyFont="1" applyFill="1" applyBorder="1" applyAlignment="1">
      <alignment horizontal="left" vertical="center"/>
    </xf>
    <xf numFmtId="0" fontId="168" fillId="0" borderId="0" xfId="0" applyFont="1" applyFill="1" applyBorder="1" applyAlignment="1">
      <alignment horizontal="center"/>
    </xf>
    <xf numFmtId="0" fontId="168" fillId="5" borderId="8" xfId="0" applyFont="1" applyFill="1" applyBorder="1" applyAlignment="1">
      <alignment horizontal="center"/>
    </xf>
    <xf numFmtId="0" fontId="171" fillId="0" borderId="0" xfId="3" applyFont="1" applyFill="1" applyAlignment="1">
      <alignment horizontal="centerContinuous"/>
    </xf>
    <xf numFmtId="0" fontId="166" fillId="0" borderId="0" xfId="3" applyFont="1" applyFill="1" applyAlignment="1">
      <alignment horizontal="centerContinuous"/>
    </xf>
    <xf numFmtId="0" fontId="174" fillId="0" borderId="0" xfId="3" applyFont="1" applyFill="1" applyAlignment="1">
      <alignment horizontal="center"/>
    </xf>
    <xf numFmtId="49" fontId="174" fillId="0" borderId="0" xfId="3" applyNumberFormat="1" applyFont="1" applyFill="1" applyAlignment="1">
      <alignment horizontal="left" indent="1"/>
    </xf>
    <xf numFmtId="0" fontId="166" fillId="3" borderId="0" xfId="3" applyFont="1" applyFill="1" applyBorder="1" applyAlignment="1">
      <alignment horizontal="center" wrapText="1"/>
    </xf>
    <xf numFmtId="0" fontId="121" fillId="0" borderId="0" xfId="3" applyFont="1" applyFill="1" applyAlignment="1">
      <alignment wrapText="1"/>
    </xf>
    <xf numFmtId="0" fontId="168" fillId="0" borderId="0" xfId="3" applyFont="1" applyFill="1" applyBorder="1"/>
    <xf numFmtId="49" fontId="168" fillId="0" borderId="0" xfId="3" applyNumberFormat="1" applyFont="1" applyFill="1" applyBorder="1" applyAlignment="1">
      <alignment horizontal="left" indent="1"/>
    </xf>
    <xf numFmtId="0" fontId="168" fillId="0" borderId="0" xfId="3" applyFont="1" applyFill="1"/>
    <xf numFmtId="0" fontId="169" fillId="0" borderId="0" xfId="1" quotePrefix="1" applyNumberFormat="1" applyFont="1" applyFill="1" applyBorder="1" applyAlignment="1">
      <alignment vertical="top"/>
    </xf>
    <xf numFmtId="165" fontId="169" fillId="0" borderId="0" xfId="1" applyNumberFormat="1" applyFont="1" applyFill="1" applyBorder="1" applyAlignment="1">
      <alignment vertical="top" wrapText="1"/>
    </xf>
    <xf numFmtId="166" fontId="168" fillId="0" borderId="0" xfId="2" applyNumberFormat="1" applyFont="1" applyFill="1" applyBorder="1"/>
    <xf numFmtId="49" fontId="168" fillId="0" borderId="0" xfId="2" applyNumberFormat="1" applyFont="1" applyFill="1" applyBorder="1" applyAlignment="1">
      <alignment horizontal="center"/>
    </xf>
    <xf numFmtId="43" fontId="175" fillId="0" borderId="0" xfId="1" applyFont="1" applyFill="1"/>
    <xf numFmtId="0" fontId="166" fillId="0" borderId="2" xfId="3" applyFont="1" applyFill="1" applyBorder="1" applyAlignment="1"/>
    <xf numFmtId="0" fontId="171" fillId="0" borderId="2" xfId="3" applyFont="1" applyFill="1" applyBorder="1"/>
    <xf numFmtId="166" fontId="166" fillId="0" borderId="2" xfId="2" applyNumberFormat="1" applyFont="1" applyFill="1" applyBorder="1"/>
    <xf numFmtId="165" fontId="176" fillId="0" borderId="0" xfId="1" applyNumberFormat="1" applyFont="1" applyFill="1" applyBorder="1"/>
    <xf numFmtId="165" fontId="174" fillId="0" borderId="0" xfId="1" applyNumberFormat="1" applyFont="1" applyFill="1" applyBorder="1" applyAlignment="1">
      <alignment horizontal="center"/>
    </xf>
    <xf numFmtId="165" fontId="177" fillId="0" borderId="0" xfId="1" applyNumberFormat="1" applyFont="1" applyFill="1" applyBorder="1"/>
    <xf numFmtId="49" fontId="176" fillId="0" borderId="0" xfId="1" applyNumberFormat="1" applyFont="1" applyFill="1" applyBorder="1" applyAlignment="1">
      <alignment horizontal="center"/>
    </xf>
    <xf numFmtId="43" fontId="176" fillId="0" borderId="0" xfId="1" applyFont="1" applyFill="1" applyBorder="1" applyAlignment="1">
      <alignment horizontal="center"/>
    </xf>
    <xf numFmtId="0" fontId="166" fillId="0" borderId="38" xfId="3" applyFont="1" applyFill="1" applyBorder="1"/>
    <xf numFmtId="0" fontId="171" fillId="0" borderId="38" xfId="3" applyFont="1" applyFill="1" applyBorder="1"/>
    <xf numFmtId="166" fontId="166" fillId="0" borderId="38" xfId="2" applyNumberFormat="1" applyFont="1" applyFill="1" applyBorder="1"/>
    <xf numFmtId="0" fontId="173" fillId="0" borderId="0" xfId="3" applyFont="1" applyFill="1" applyBorder="1"/>
    <xf numFmtId="0" fontId="171" fillId="0" borderId="0" xfId="3" applyFont="1" applyFill="1" applyBorder="1"/>
    <xf numFmtId="166" fontId="166" fillId="0" borderId="0" xfId="2" applyNumberFormat="1" applyFont="1" applyFill="1" applyBorder="1"/>
    <xf numFmtId="49" fontId="166" fillId="0" borderId="0" xfId="2" applyNumberFormat="1" applyFont="1" applyFill="1" applyBorder="1" applyAlignment="1">
      <alignment horizontal="center"/>
    </xf>
    <xf numFmtId="43" fontId="166" fillId="0" borderId="0" xfId="1" applyFont="1" applyFill="1" applyBorder="1" applyAlignment="1">
      <alignment horizontal="center"/>
    </xf>
    <xf numFmtId="0" fontId="169" fillId="0" borderId="0" xfId="3" applyFont="1" applyFill="1" applyBorder="1" applyAlignment="1">
      <alignment horizontal="left" indent="1"/>
    </xf>
    <xf numFmtId="0" fontId="169" fillId="0" borderId="0" xfId="3" applyFont="1" applyFill="1" applyBorder="1"/>
    <xf numFmtId="0" fontId="171" fillId="0" borderId="0" xfId="3" applyFont="1" applyFill="1" applyBorder="1" applyAlignment="1">
      <alignment horizontal="left" indent="1"/>
    </xf>
    <xf numFmtId="166" fontId="169" fillId="0" borderId="0" xfId="2" applyNumberFormat="1" applyFont="1" applyFill="1" applyBorder="1"/>
    <xf numFmtId="49" fontId="169" fillId="0" borderId="0" xfId="2" applyNumberFormat="1" applyFont="1" applyFill="1" applyBorder="1" applyAlignment="1">
      <alignment horizontal="center"/>
    </xf>
    <xf numFmtId="0" fontId="168" fillId="0" borderId="0" xfId="3" applyFont="1" applyFill="1" applyBorder="1" applyAlignment="1">
      <alignment horizontal="left" indent="1"/>
    </xf>
    <xf numFmtId="166" fontId="175" fillId="0" borderId="0" xfId="3" applyNumberFormat="1" applyFont="1" applyFill="1" applyBorder="1"/>
    <xf numFmtId="0" fontId="166" fillId="0" borderId="0" xfId="3" applyFont="1" applyFill="1" applyBorder="1"/>
    <xf numFmtId="0" fontId="169" fillId="0" borderId="0" xfId="3" applyNumberFormat="1" applyFont="1" applyFill="1" applyAlignment="1">
      <alignment horizontal="left"/>
    </xf>
    <xf numFmtId="49" fontId="169" fillId="0" borderId="0" xfId="3" applyNumberFormat="1" applyFont="1" applyFill="1" applyAlignment="1">
      <alignment wrapText="1"/>
    </xf>
    <xf numFmtId="43" fontId="169" fillId="0" borderId="0" xfId="1" applyFont="1" applyFill="1" applyAlignment="1">
      <alignment wrapText="1"/>
    </xf>
    <xf numFmtId="0" fontId="168" fillId="0" borderId="0" xfId="0" applyFont="1"/>
    <xf numFmtId="49" fontId="169" fillId="0" borderId="0" xfId="3" applyNumberFormat="1" applyFont="1" applyFill="1" applyAlignment="1">
      <alignment horizontal="left" wrapText="1"/>
    </xf>
    <xf numFmtId="0" fontId="168" fillId="0" borderId="0" xfId="4300" applyFont="1" applyFill="1"/>
    <xf numFmtId="0" fontId="166" fillId="0" borderId="0" xfId="4300" applyFont="1" applyAlignment="1">
      <alignment horizontal="left"/>
    </xf>
    <xf numFmtId="0" fontId="166" fillId="0" borderId="0" xfId="4300" applyFont="1" applyAlignment="1"/>
    <xf numFmtId="49" fontId="166" fillId="0" borderId="0" xfId="4300" applyNumberFormat="1" applyFont="1" applyAlignment="1">
      <alignment horizontal="left"/>
    </xf>
    <xf numFmtId="0" fontId="166" fillId="0" borderId="0" xfId="4300" applyFont="1" applyAlignment="1">
      <alignment horizontal="center"/>
    </xf>
    <xf numFmtId="41" fontId="166" fillId="0" borderId="0" xfId="4300" applyNumberFormat="1" applyFont="1" applyAlignment="1">
      <alignment horizontal="center"/>
    </xf>
    <xf numFmtId="38" fontId="168" fillId="0" borderId="46" xfId="4300" applyNumberFormat="1" applyFont="1" applyBorder="1" applyAlignment="1">
      <alignment horizontal="center"/>
    </xf>
    <xf numFmtId="38" fontId="168" fillId="0" borderId="39" xfId="4300" applyNumberFormat="1" applyFont="1" applyBorder="1" applyAlignment="1">
      <alignment horizontal="center"/>
    </xf>
    <xf numFmtId="38" fontId="168" fillId="0" borderId="39" xfId="4300" applyNumberFormat="1" applyFont="1" applyFill="1" applyBorder="1" applyAlignment="1">
      <alignment horizontal="center"/>
    </xf>
    <xf numFmtId="38" fontId="168" fillId="0" borderId="40" xfId="4300" applyNumberFormat="1" applyFont="1" applyBorder="1" applyAlignment="1">
      <alignment horizontal="center"/>
    </xf>
    <xf numFmtId="38" fontId="168" fillId="0" borderId="0" xfId="4300" applyNumberFormat="1" applyFont="1" applyBorder="1" applyAlignment="1">
      <alignment horizontal="center" vertical="center" wrapText="1"/>
    </xf>
    <xf numFmtId="38" fontId="168" fillId="0" borderId="51" xfId="4300" applyNumberFormat="1" applyFont="1" applyBorder="1" applyAlignment="1">
      <alignment horizontal="center" vertical="center" wrapText="1"/>
    </xf>
    <xf numFmtId="38" fontId="168" fillId="0" borderId="41" xfId="4300" applyNumberFormat="1" applyFont="1" applyBorder="1" applyAlignment="1">
      <alignment horizontal="center" vertical="center" wrapText="1"/>
    </xf>
    <xf numFmtId="38" fontId="168" fillId="0" borderId="41" xfId="4300" applyNumberFormat="1" applyFont="1" applyFill="1" applyBorder="1" applyAlignment="1">
      <alignment horizontal="center" vertical="center" wrapText="1"/>
    </xf>
    <xf numFmtId="38" fontId="168" fillId="0" borderId="42" xfId="4300" applyNumberFormat="1" applyFont="1" applyBorder="1" applyAlignment="1">
      <alignment horizontal="center" vertical="center"/>
    </xf>
    <xf numFmtId="41" fontId="168" fillId="0" borderId="55" xfId="4300" applyNumberFormat="1" applyFont="1" applyFill="1" applyBorder="1"/>
    <xf numFmtId="41" fontId="168" fillId="0" borderId="56" xfId="4300" applyNumberFormat="1" applyFont="1" applyFill="1" applyBorder="1"/>
    <xf numFmtId="0" fontId="168" fillId="0" borderId="2" xfId="4300" applyFont="1" applyFill="1" applyBorder="1" applyAlignment="1">
      <alignment vertical="center" wrapText="1"/>
    </xf>
    <xf numFmtId="0" fontId="166" fillId="28" borderId="45" xfId="4300" applyFont="1" applyFill="1" applyBorder="1" applyAlignment="1">
      <alignment horizontal="center" wrapText="1"/>
    </xf>
    <xf numFmtId="0" fontId="168" fillId="0" borderId="29" xfId="4300" applyFont="1" applyBorder="1"/>
    <xf numFmtId="0" fontId="171" fillId="0" borderId="44" xfId="4300" applyFont="1" applyFill="1" applyBorder="1" applyAlignment="1">
      <alignment horizontal="right" wrapText="1"/>
    </xf>
    <xf numFmtId="0" fontId="171" fillId="0" borderId="0" xfId="4300" applyFont="1" applyFill="1" applyBorder="1" applyAlignment="1">
      <alignment horizontal="right" wrapText="1"/>
    </xf>
    <xf numFmtId="0" fontId="168" fillId="28" borderId="43" xfId="4300" applyFont="1" applyFill="1" applyBorder="1"/>
    <xf numFmtId="0" fontId="168" fillId="0" borderId="0" xfId="4300" applyFont="1" applyAlignment="1">
      <alignment horizontal="center"/>
    </xf>
    <xf numFmtId="0" fontId="168" fillId="0" borderId="0" xfId="4300" applyFont="1" applyFill="1" applyBorder="1"/>
    <xf numFmtId="38" fontId="166" fillId="0" borderId="0" xfId="4300" applyNumberFormat="1" applyFont="1" applyBorder="1"/>
    <xf numFmtId="0" fontId="169" fillId="0" borderId="0" xfId="0" applyFont="1" applyFill="1"/>
    <xf numFmtId="0" fontId="168" fillId="0" borderId="0" xfId="0" applyFont="1" applyBorder="1" applyAlignment="1">
      <alignment horizontal="center"/>
    </xf>
    <xf numFmtId="37" fontId="168" fillId="0" borderId="0" xfId="0" applyNumberFormat="1" applyFont="1" applyBorder="1" applyAlignment="1">
      <alignment horizontal="center"/>
    </xf>
    <xf numFmtId="0" fontId="166" fillId="3" borderId="11" xfId="0" applyFont="1" applyFill="1" applyBorder="1" applyAlignment="1">
      <alignment horizontal="center" vertical="center"/>
    </xf>
    <xf numFmtId="0" fontId="166" fillId="3" borderId="3" xfId="0" applyFont="1" applyFill="1" applyBorder="1" applyAlignment="1">
      <alignment horizontal="center" vertical="center"/>
    </xf>
    <xf numFmtId="3" fontId="166" fillId="3" borderId="34" xfId="0" applyNumberFormat="1" applyFont="1" applyFill="1" applyBorder="1" applyAlignment="1">
      <alignment horizontal="center" vertical="center"/>
    </xf>
    <xf numFmtId="3" fontId="171" fillId="3" borderId="9" xfId="0" applyNumberFormat="1" applyFont="1" applyFill="1" applyBorder="1" applyAlignment="1">
      <alignment horizontal="center" vertical="center" wrapText="1"/>
    </xf>
    <xf numFmtId="3" fontId="171" fillId="3" borderId="2" xfId="0" applyNumberFormat="1" applyFont="1" applyFill="1" applyBorder="1" applyAlignment="1">
      <alignment horizontal="center" vertical="center" wrapText="1"/>
    </xf>
    <xf numFmtId="3" fontId="166" fillId="3" borderId="4" xfId="0" applyNumberFormat="1" applyFont="1" applyFill="1" applyBorder="1" applyAlignment="1">
      <alignment horizontal="center" vertical="center" wrapText="1"/>
    </xf>
    <xf numFmtId="42" fontId="168" fillId="0" borderId="0" xfId="0" applyNumberFormat="1" applyFont="1" applyFill="1" applyBorder="1" applyAlignment="1">
      <alignment vertical="center"/>
    </xf>
    <xf numFmtId="42" fontId="166" fillId="0" borderId="2" xfId="0" applyNumberFormat="1" applyFont="1" applyFill="1" applyBorder="1" applyAlignment="1">
      <alignment vertical="center"/>
    </xf>
    <xf numFmtId="164" fontId="166" fillId="0" borderId="0" xfId="0" applyNumberFormat="1" applyFont="1" applyFill="1" applyAlignment="1">
      <alignment vertical="center"/>
    </xf>
    <xf numFmtId="164" fontId="169" fillId="0" borderId="0" xfId="10" applyNumberFormat="1" applyFont="1" applyFill="1" applyBorder="1" applyAlignment="1">
      <alignment vertical="center"/>
    </xf>
    <xf numFmtId="42" fontId="166" fillId="0" borderId="0" xfId="0" applyNumberFormat="1" applyFont="1" applyFill="1" applyBorder="1" applyAlignment="1">
      <alignment vertical="center"/>
    </xf>
    <xf numFmtId="164" fontId="171" fillId="0" borderId="38" xfId="10" applyNumberFormat="1" applyFont="1" applyFill="1" applyBorder="1" applyAlignment="1">
      <alignment vertical="center"/>
    </xf>
    <xf numFmtId="42" fontId="166" fillId="0" borderId="38" xfId="0" applyNumberFormat="1" applyFont="1" applyFill="1" applyBorder="1" applyAlignment="1">
      <alignment vertical="center"/>
    </xf>
    <xf numFmtId="41" fontId="166" fillId="28" borderId="54" xfId="4300" applyNumberFormat="1" applyFont="1" applyFill="1" applyBorder="1"/>
    <xf numFmtId="42" fontId="168" fillId="0" borderId="0" xfId="1" applyNumberFormat="1" applyFont="1" applyFill="1" applyBorder="1" applyAlignment="1">
      <alignment horizontal="center"/>
    </xf>
    <xf numFmtId="42" fontId="166" fillId="0" borderId="2" xfId="1" applyNumberFormat="1" applyFont="1" applyFill="1" applyBorder="1" applyAlignment="1">
      <alignment horizontal="center"/>
    </xf>
    <xf numFmtId="0" fontId="166" fillId="0" borderId="10" xfId="0" applyFont="1" applyFill="1" applyBorder="1" applyAlignment="1">
      <alignment horizontal="center" vertical="center"/>
    </xf>
    <xf numFmtId="3" fontId="166" fillId="0" borderId="10" xfId="0" applyNumberFormat="1" applyFont="1" applyFill="1" applyBorder="1" applyAlignment="1">
      <alignment horizontal="center" vertical="center"/>
    </xf>
    <xf numFmtId="3" fontId="171" fillId="0" borderId="10" xfId="0" applyNumberFormat="1" applyFont="1" applyFill="1" applyBorder="1" applyAlignment="1">
      <alignment horizontal="center" vertical="center" wrapText="1"/>
    </xf>
    <xf numFmtId="3" fontId="166" fillId="0" borderId="10" xfId="0" applyNumberFormat="1" applyFont="1" applyFill="1" applyBorder="1" applyAlignment="1">
      <alignment horizontal="center" vertical="center" wrapText="1"/>
    </xf>
    <xf numFmtId="41" fontId="167" fillId="0" borderId="0" xfId="4300" applyNumberFormat="1" applyFont="1" applyAlignment="1"/>
    <xf numFmtId="41" fontId="167" fillId="0" borderId="0" xfId="4300" applyNumberFormat="1" applyFont="1"/>
    <xf numFmtId="41" fontId="166" fillId="0" borderId="57" xfId="4300" quotePrefix="1" applyNumberFormat="1" applyFont="1" applyBorder="1" applyAlignment="1">
      <alignment horizontal="center"/>
    </xf>
    <xf numFmtId="41" fontId="167" fillId="0" borderId="0" xfId="50939" applyNumberFormat="1" applyFont="1" applyAlignment="1"/>
    <xf numFmtId="41" fontId="114" fillId="0" borderId="0" xfId="4300" applyNumberFormat="1"/>
    <xf numFmtId="0" fontId="167" fillId="0" borderId="0" xfId="4300" applyFont="1" applyAlignment="1"/>
    <xf numFmtId="43" fontId="167" fillId="0" borderId="0" xfId="1" applyFont="1" applyAlignment="1"/>
    <xf numFmtId="15" fontId="167" fillId="0" borderId="0" xfId="50939" applyNumberFormat="1" applyFont="1" applyAlignment="1"/>
    <xf numFmtId="41" fontId="167" fillId="0" borderId="0" xfId="16" applyNumberFormat="1" applyFont="1" applyAlignment="1"/>
    <xf numFmtId="0" fontId="167" fillId="0" borderId="0" xfId="50939" applyFont="1" applyAlignment="1"/>
    <xf numFmtId="41" fontId="167" fillId="0" borderId="0" xfId="16" applyNumberFormat="1" applyFont="1"/>
    <xf numFmtId="0" fontId="167" fillId="0" borderId="0" xfId="4300" applyFont="1"/>
    <xf numFmtId="43" fontId="167" fillId="0" borderId="0" xfId="1" applyFont="1"/>
    <xf numFmtId="169" fontId="167" fillId="0" borderId="0" xfId="4300" applyNumberFormat="1" applyFont="1"/>
    <xf numFmtId="8" fontId="167" fillId="0" borderId="0" xfId="4300" applyNumberFormat="1" applyFont="1"/>
    <xf numFmtId="0" fontId="167" fillId="0" borderId="0" xfId="4300" applyFont="1" applyFill="1"/>
    <xf numFmtId="43" fontId="167" fillId="0" borderId="0" xfId="1" applyFont="1" applyFill="1"/>
    <xf numFmtId="0" fontId="114" fillId="0" borderId="0" xfId="4300" applyAlignment="1"/>
    <xf numFmtId="0" fontId="114" fillId="0" borderId="0" xfId="4300"/>
    <xf numFmtId="169" fontId="114" fillId="0" borderId="0" xfId="4300" applyNumberFormat="1"/>
    <xf numFmtId="42" fontId="156" fillId="0" borderId="0" xfId="0" applyNumberFormat="1" applyFont="1" applyFill="1" applyAlignment="1">
      <alignment vertical="center"/>
    </xf>
    <xf numFmtId="17" fontId="166" fillId="0" borderId="0" xfId="0" applyNumberFormat="1" applyFont="1" applyBorder="1" applyAlignment="1">
      <alignment horizontal="center"/>
    </xf>
    <xf numFmtId="0" fontId="166" fillId="0" borderId="58" xfId="50939" quotePrefix="1" applyFont="1" applyBorder="1" applyAlignment="1">
      <alignment horizontal="left"/>
    </xf>
    <xf numFmtId="41" fontId="156" fillId="0" borderId="0" xfId="0" applyNumberFormat="1" applyFont="1"/>
    <xf numFmtId="0" fontId="156" fillId="0" borderId="0" xfId="0" applyFont="1" applyBorder="1"/>
    <xf numFmtId="41" fontId="166" fillId="0" borderId="58" xfId="50939" applyNumberFormat="1" applyFont="1" applyBorder="1" applyAlignment="1"/>
    <xf numFmtId="0" fontId="169" fillId="0" borderId="0" xfId="3" applyFont="1" applyFill="1"/>
    <xf numFmtId="41" fontId="166" fillId="28" borderId="59" xfId="4300" applyNumberFormat="1" applyFont="1" applyFill="1" applyBorder="1"/>
    <xf numFmtId="41" fontId="166" fillId="0" borderId="0" xfId="50939" applyNumberFormat="1" applyFont="1" applyAlignment="1">
      <alignment horizontal="center"/>
    </xf>
    <xf numFmtId="2" fontId="169" fillId="0" borderId="0" xfId="0" applyNumberFormat="1" applyFont="1" applyFill="1"/>
    <xf numFmtId="2" fontId="168" fillId="0" borderId="0" xfId="0" applyNumberFormat="1" applyFont="1" applyFill="1"/>
    <xf numFmtId="0" fontId="166" fillId="0" borderId="0" xfId="0" applyFont="1" applyAlignment="1">
      <alignment horizontal="left"/>
    </xf>
    <xf numFmtId="164" fontId="166" fillId="0" borderId="37" xfId="10" applyNumberFormat="1" applyFont="1" applyFill="1" applyBorder="1"/>
    <xf numFmtId="0" fontId="166" fillId="0" borderId="0" xfId="50939" quotePrefix="1" applyFont="1" applyBorder="1" applyAlignment="1">
      <alignment horizontal="left"/>
    </xf>
    <xf numFmtId="0" fontId="169" fillId="0" borderId="0" xfId="1" quotePrefix="1" applyNumberFormat="1" applyFont="1" applyFill="1" applyBorder="1" applyAlignment="1">
      <alignment horizontal="left" vertical="top"/>
    </xf>
    <xf numFmtId="0" fontId="168" fillId="0" borderId="0" xfId="3" applyNumberFormat="1" applyFont="1" applyFill="1" applyAlignment="1">
      <alignment horizontal="left"/>
    </xf>
    <xf numFmtId="3" fontId="166" fillId="5" borderId="0" xfId="0" applyNumberFormat="1" applyFont="1" applyFill="1" applyAlignment="1">
      <alignment horizontal="center" vertical="center" wrapText="1"/>
    </xf>
    <xf numFmtId="3" fontId="166" fillId="3" borderId="6" xfId="0" applyNumberFormat="1" applyFont="1" applyFill="1" applyBorder="1" applyAlignment="1"/>
    <xf numFmtId="3" fontId="166" fillId="3" borderId="23" xfId="11" applyNumberFormat="1" applyFont="1" applyFill="1" applyBorder="1" applyAlignment="1">
      <alignment horizontal="center" vertical="top"/>
    </xf>
    <xf numFmtId="0" fontId="166" fillId="28" borderId="60" xfId="4300" applyFont="1" applyFill="1" applyBorder="1" applyAlignment="1">
      <alignment horizontal="center"/>
    </xf>
    <xf numFmtId="0" fontId="166" fillId="28" borderId="61" xfId="4300" applyFont="1" applyFill="1" applyBorder="1" applyAlignment="1">
      <alignment horizontal="center" wrapText="1"/>
    </xf>
    <xf numFmtId="41" fontId="166" fillId="28" borderId="62" xfId="4300" applyNumberFormat="1" applyFont="1" applyFill="1" applyBorder="1"/>
    <xf numFmtId="0" fontId="168" fillId="0" borderId="0" xfId="50939" applyFont="1" applyFill="1" applyAlignment="1">
      <alignment horizontal="center"/>
    </xf>
    <xf numFmtId="41" fontId="166" fillId="0" borderId="57" xfId="50939" quotePrefix="1" applyNumberFormat="1" applyFont="1" applyBorder="1" applyAlignment="1">
      <alignment horizontal="center"/>
    </xf>
    <xf numFmtId="41" fontId="166" fillId="0" borderId="0" xfId="50939" applyNumberFormat="1" applyFont="1" applyAlignment="1"/>
    <xf numFmtId="41" fontId="166" fillId="0" borderId="0" xfId="50939" applyNumberFormat="1" applyFont="1" applyAlignment="1">
      <alignment horizontal="left"/>
    </xf>
    <xf numFmtId="0" fontId="168" fillId="0" borderId="0" xfId="50939" applyFont="1" applyAlignment="1">
      <alignment horizontal="center" vertical="center" wrapText="1"/>
    </xf>
    <xf numFmtId="172" fontId="168" fillId="0" borderId="37" xfId="10" applyNumberFormat="1" applyFont="1" applyFill="1" applyBorder="1"/>
    <xf numFmtId="3" fontId="166" fillId="0" borderId="0" xfId="0" applyNumberFormat="1" applyFont="1" applyFill="1"/>
    <xf numFmtId="165" fontId="168" fillId="0" borderId="0" xfId="16" applyNumberFormat="1" applyFont="1" applyFill="1"/>
    <xf numFmtId="165" fontId="166" fillId="0" borderId="0" xfId="16" applyNumberFormat="1" applyFont="1" applyFill="1"/>
    <xf numFmtId="165" fontId="168" fillId="0" borderId="0" xfId="1" applyNumberFormat="1" applyFont="1"/>
    <xf numFmtId="165" fontId="166" fillId="0" borderId="0" xfId="1" applyNumberFormat="1" applyFont="1"/>
    <xf numFmtId="41" fontId="166" fillId="28" borderId="65" xfId="4300" applyNumberFormat="1" applyFont="1" applyFill="1" applyBorder="1"/>
    <xf numFmtId="172" fontId="168" fillId="0" borderId="0" xfId="0" applyNumberFormat="1" applyFont="1" applyFill="1"/>
    <xf numFmtId="44" fontId="168" fillId="0" borderId="0" xfId="0" applyNumberFormat="1" applyFont="1" applyFill="1"/>
    <xf numFmtId="0" fontId="166" fillId="0" borderId="0" xfId="4300" applyFont="1" applyBorder="1" applyAlignment="1">
      <alignment horizontal="center"/>
    </xf>
    <xf numFmtId="0" fontId="168" fillId="0" borderId="0" xfId="4300" applyFont="1" applyFill="1" applyBorder="1" applyAlignment="1">
      <alignment vertical="center" wrapText="1"/>
    </xf>
    <xf numFmtId="41" fontId="168" fillId="0" borderId="5" xfId="4300" applyNumberFormat="1" applyFont="1" applyFill="1" applyBorder="1"/>
    <xf numFmtId="41" fontId="168" fillId="0" borderId="66" xfId="4300" applyNumberFormat="1" applyFont="1" applyFill="1" applyBorder="1"/>
    <xf numFmtId="165" fontId="168" fillId="0" borderId="0" xfId="16" applyNumberFormat="1" applyFont="1" applyFill="1" applyAlignment="1"/>
    <xf numFmtId="165" fontId="168" fillId="0" borderId="0" xfId="1" applyNumberFormat="1" applyFont="1" applyFill="1" applyBorder="1" applyAlignment="1">
      <alignment horizontal="left" vertical="center"/>
    </xf>
    <xf numFmtId="165" fontId="0" fillId="0" borderId="0" xfId="0" applyNumberFormat="1" applyFont="1"/>
    <xf numFmtId="38" fontId="76" fillId="0" borderId="67" xfId="50983" applyNumberFormat="1" applyBorder="1"/>
    <xf numFmtId="0" fontId="155" fillId="0" borderId="0" xfId="0" applyFont="1" applyFill="1" applyAlignment="1">
      <alignment vertical="center"/>
    </xf>
    <xf numFmtId="42" fontId="156" fillId="0" borderId="0" xfId="0" applyNumberFormat="1" applyFont="1" applyFill="1"/>
    <xf numFmtId="43" fontId="156" fillId="0" borderId="0" xfId="1" applyFont="1" applyFill="1" applyBorder="1" applyAlignment="1">
      <alignment vertical="center"/>
    </xf>
    <xf numFmtId="173" fontId="168" fillId="0" borderId="0" xfId="0" applyNumberFormat="1" applyFont="1" applyFill="1"/>
    <xf numFmtId="165" fontId="166" fillId="0" borderId="38" xfId="1" applyNumberFormat="1" applyFont="1" applyFill="1" applyBorder="1" applyAlignment="1">
      <alignment horizontal="left" vertical="center"/>
    </xf>
    <xf numFmtId="0" fontId="117" fillId="0" borderId="70" xfId="4300" applyFont="1" applyBorder="1"/>
    <xf numFmtId="0" fontId="121" fillId="0" borderId="71" xfId="4300" applyFont="1" applyBorder="1"/>
    <xf numFmtId="0" fontId="121" fillId="0" borderId="74" xfId="4300" applyNumberFormat="1" applyFont="1" applyFill="1" applyBorder="1" applyAlignment="1">
      <alignment vertical="center"/>
    </xf>
    <xf numFmtId="0" fontId="121" fillId="0" borderId="73" xfId="4300" applyFont="1" applyBorder="1"/>
    <xf numFmtId="0" fontId="121" fillId="0" borderId="75" xfId="4300" applyNumberFormat="1" applyFont="1" applyFill="1" applyBorder="1" applyAlignment="1">
      <alignment vertical="center"/>
    </xf>
    <xf numFmtId="0" fontId="121" fillId="0" borderId="79" xfId="4300" applyFont="1" applyFill="1" applyBorder="1" applyAlignment="1">
      <alignment vertical="center" wrapText="1"/>
    </xf>
    <xf numFmtId="0" fontId="190" fillId="33" borderId="81" xfId="4300" applyFont="1" applyFill="1" applyBorder="1"/>
    <xf numFmtId="0" fontId="191" fillId="33" borderId="82" xfId="4300" applyFont="1" applyFill="1" applyBorder="1"/>
    <xf numFmtId="0" fontId="168" fillId="0" borderId="0" xfId="50939" applyFont="1" applyFill="1" applyAlignment="1">
      <alignment vertical="top"/>
    </xf>
    <xf numFmtId="165" fontId="167" fillId="0" borderId="0" xfId="4300" applyNumberFormat="1" applyFont="1" applyFill="1"/>
    <xf numFmtId="166" fontId="196" fillId="0" borderId="0" xfId="14" applyNumberFormat="1" applyFont="1" applyFill="1" applyBorder="1"/>
    <xf numFmtId="166" fontId="166" fillId="0" borderId="0" xfId="14" applyNumberFormat="1" applyFont="1" applyBorder="1"/>
    <xf numFmtId="174" fontId="168" fillId="0" borderId="0" xfId="50939" applyNumberFormat="1" applyFont="1" applyAlignment="1"/>
    <xf numFmtId="0" fontId="117" fillId="34" borderId="76" xfId="4300" applyFont="1" applyFill="1" applyBorder="1" applyAlignment="1">
      <alignment vertical="center"/>
    </xf>
    <xf numFmtId="0" fontId="117" fillId="34" borderId="78" xfId="4300" applyFont="1" applyFill="1" applyBorder="1" applyAlignment="1">
      <alignment vertical="center"/>
    </xf>
    <xf numFmtId="0" fontId="189" fillId="34" borderId="80" xfId="25" applyFont="1" applyFill="1" applyBorder="1"/>
    <xf numFmtId="0" fontId="125" fillId="34" borderId="80" xfId="51023" applyFill="1" applyBorder="1"/>
    <xf numFmtId="0" fontId="117" fillId="34" borderId="77" xfId="4300" applyFont="1" applyFill="1" applyBorder="1" applyAlignment="1">
      <alignment vertical="center" wrapText="1"/>
    </xf>
    <xf numFmtId="0" fontId="169" fillId="0" borderId="0" xfId="10" applyFont="1" applyFill="1" applyBorder="1" applyAlignment="1">
      <alignment horizontal="center"/>
    </xf>
    <xf numFmtId="3" fontId="166" fillId="5" borderId="23" xfId="0" applyNumberFormat="1" applyFont="1" applyFill="1" applyBorder="1" applyAlignment="1">
      <alignment horizontal="center" vertical="center" wrapText="1"/>
    </xf>
    <xf numFmtId="0" fontId="166" fillId="0" borderId="0" xfId="4300" applyFont="1" applyFill="1" applyAlignment="1">
      <alignment horizontal="center" vertical="center"/>
    </xf>
    <xf numFmtId="0" fontId="166" fillId="0" borderId="0" xfId="4300" applyFont="1" applyFill="1" applyAlignment="1">
      <alignment horizontal="center"/>
    </xf>
    <xf numFmtId="0" fontId="166" fillId="0" borderId="0" xfId="4300" applyFont="1" applyFill="1" applyAlignment="1">
      <alignment horizontal="justify" vertical="center"/>
    </xf>
    <xf numFmtId="15" fontId="166" fillId="0" borderId="0" xfId="4300" applyNumberFormat="1" applyFont="1" applyFill="1" applyAlignment="1">
      <alignment horizontal="center" vertical="center"/>
    </xf>
    <xf numFmtId="0" fontId="114" fillId="0" borderId="0" xfId="4300" applyFill="1" applyAlignment="1">
      <alignment horizontal="center"/>
    </xf>
    <xf numFmtId="0" fontId="114" fillId="0" borderId="0" xfId="4300" applyFill="1"/>
    <xf numFmtId="0" fontId="168" fillId="0" borderId="0" xfId="4300" applyFont="1" applyFill="1" applyAlignment="1">
      <alignment horizontal="justify" vertical="center"/>
    </xf>
    <xf numFmtId="0" fontId="168" fillId="0" borderId="0" xfId="4300" applyFont="1" applyFill="1" applyAlignment="1">
      <alignment horizontal="center" vertical="center"/>
    </xf>
    <xf numFmtId="170" fontId="168" fillId="0" borderId="0" xfId="4300" applyNumberFormat="1" applyFont="1" applyFill="1" applyAlignment="1">
      <alignment horizontal="justify" vertical="center"/>
    </xf>
    <xf numFmtId="0" fontId="168" fillId="0" borderId="0" xfId="4300" applyFont="1" applyFill="1" applyBorder="1" applyAlignment="1">
      <alignment vertical="top"/>
    </xf>
    <xf numFmtId="0" fontId="168" fillId="0" borderId="0" xfId="4300" applyFont="1" applyFill="1" applyBorder="1" applyAlignment="1">
      <alignment horizontal="center"/>
    </xf>
    <xf numFmtId="38" fontId="0" fillId="0" borderId="0" xfId="0" applyNumberFormat="1" applyFont="1"/>
    <xf numFmtId="0" fontId="169" fillId="0" borderId="0" xfId="3" quotePrefix="1" applyFont="1" applyFill="1" applyAlignment="1">
      <alignment vertical="center"/>
    </xf>
    <xf numFmtId="42" fontId="168" fillId="0" borderId="0" xfId="0" applyNumberFormat="1" applyFont="1" applyFill="1" applyAlignment="1">
      <alignment vertical="top" wrapText="1"/>
    </xf>
    <xf numFmtId="166" fontId="196" fillId="0" borderId="0" xfId="14" applyNumberFormat="1" applyFont="1" applyBorder="1"/>
    <xf numFmtId="41" fontId="168" fillId="0" borderId="0" xfId="50939" applyNumberFormat="1" applyFont="1" applyFill="1" applyAlignment="1"/>
    <xf numFmtId="38" fontId="168" fillId="0" borderId="0" xfId="50939" applyNumberFormat="1" applyFont="1" applyFill="1" applyAlignment="1"/>
    <xf numFmtId="165" fontId="0" fillId="0" borderId="0" xfId="0" applyNumberFormat="1" applyFont="1" applyFill="1"/>
    <xf numFmtId="167" fontId="168" fillId="0" borderId="0" xfId="13" applyNumberFormat="1" applyFont="1" applyFill="1"/>
    <xf numFmtId="167" fontId="166" fillId="0" borderId="2" xfId="16" applyNumberFormat="1" applyFont="1" applyFill="1" applyBorder="1"/>
    <xf numFmtId="167" fontId="168" fillId="0" borderId="68" xfId="50934" applyNumberFormat="1" applyFont="1" applyFill="1" applyBorder="1"/>
    <xf numFmtId="0" fontId="169" fillId="0" borderId="68" xfId="16" applyNumberFormat="1" applyFont="1" applyFill="1" applyBorder="1" applyAlignment="1">
      <alignment horizontal="center"/>
    </xf>
    <xf numFmtId="167" fontId="166" fillId="0" borderId="2" xfId="16" applyNumberFormat="1" applyFont="1" applyFill="1" applyBorder="1" applyAlignment="1"/>
    <xf numFmtId="167" fontId="169" fillId="0" borderId="2" xfId="16" applyNumberFormat="1" applyFont="1" applyFill="1" applyBorder="1" applyAlignment="1"/>
    <xf numFmtId="167" fontId="169" fillId="0" borderId="68" xfId="50934" applyNumberFormat="1" applyFont="1" applyFill="1" applyBorder="1"/>
    <xf numFmtId="167" fontId="169" fillId="0" borderId="2" xfId="16" applyNumberFormat="1" applyFont="1" applyFill="1" applyBorder="1"/>
    <xf numFmtId="167" fontId="169" fillId="0" borderId="68" xfId="50934" applyNumberFormat="1" applyFont="1" applyFill="1" applyBorder="1" applyAlignment="1">
      <alignment horizontal="center"/>
    </xf>
    <xf numFmtId="167" fontId="168" fillId="0" borderId="6" xfId="50934" applyNumberFormat="1" applyFont="1" applyFill="1" applyBorder="1"/>
    <xf numFmtId="167" fontId="169" fillId="0" borderId="6" xfId="50934" applyNumberFormat="1" applyFont="1" applyFill="1" applyBorder="1" applyAlignment="1">
      <alignment horizontal="center"/>
    </xf>
    <xf numFmtId="167" fontId="166" fillId="5" borderId="2" xfId="16" applyNumberFormat="1" applyFont="1" applyFill="1" applyBorder="1" applyAlignment="1">
      <alignment horizontal="center" vertical="center" wrapText="1"/>
    </xf>
    <xf numFmtId="167" fontId="166" fillId="3" borderId="2" xfId="16" applyNumberFormat="1" applyFont="1" applyFill="1" applyBorder="1" applyAlignment="1">
      <alignment horizontal="center" vertical="center" wrapText="1"/>
    </xf>
    <xf numFmtId="167" fontId="166" fillId="3" borderId="2" xfId="50934" applyNumberFormat="1" applyFont="1" applyFill="1" applyBorder="1" applyAlignment="1">
      <alignment horizontal="center" vertical="center"/>
    </xf>
    <xf numFmtId="167" fontId="166" fillId="3" borderId="2" xfId="50934" applyNumberFormat="1" applyFont="1" applyFill="1" applyBorder="1" applyAlignment="1">
      <alignment horizontal="center" vertical="center" wrapText="1"/>
    </xf>
    <xf numFmtId="0" fontId="205" fillId="0" borderId="0" xfId="50935" applyFont="1"/>
    <xf numFmtId="0" fontId="166" fillId="0" borderId="0" xfId="0" applyFont="1" applyFill="1" applyAlignment="1">
      <alignment horizontal="left" vertical="top"/>
    </xf>
    <xf numFmtId="165" fontId="166" fillId="0" borderId="38" xfId="1" applyNumberFormat="1" applyFont="1" applyFill="1" applyBorder="1"/>
    <xf numFmtId="165" fontId="166" fillId="0" borderId="0" xfId="1" applyNumberFormat="1" applyFont="1" applyFill="1" applyBorder="1"/>
    <xf numFmtId="165" fontId="205" fillId="0" borderId="0" xfId="1" applyNumberFormat="1" applyFont="1" applyFill="1" applyBorder="1"/>
    <xf numFmtId="165" fontId="169" fillId="0" borderId="0" xfId="1" applyNumberFormat="1" applyFont="1" applyFill="1" applyBorder="1"/>
    <xf numFmtId="41" fontId="168" fillId="0" borderId="84" xfId="4300" applyNumberFormat="1" applyFont="1" applyFill="1" applyBorder="1"/>
    <xf numFmtId="41" fontId="168" fillId="0" borderId="69" xfId="4300" applyNumberFormat="1" applyFont="1" applyFill="1" applyBorder="1"/>
    <xf numFmtId="167" fontId="169" fillId="0" borderId="2" xfId="16" applyNumberFormat="1" applyFont="1" applyFill="1" applyBorder="1" applyAlignment="1">
      <alignment horizontal="center"/>
    </xf>
    <xf numFmtId="0" fontId="166" fillId="28" borderId="43" xfId="4300" applyFont="1" applyFill="1" applyBorder="1" applyAlignment="1">
      <alignment horizontal="center"/>
    </xf>
    <xf numFmtId="41" fontId="168" fillId="28" borderId="52" xfId="4300" applyNumberFormat="1" applyFont="1" applyFill="1" applyBorder="1"/>
    <xf numFmtId="41" fontId="168" fillId="28" borderId="53" xfId="4300" applyNumberFormat="1" applyFont="1" applyFill="1" applyBorder="1"/>
    <xf numFmtId="165" fontId="170" fillId="0" borderId="68" xfId="13" applyNumberFormat="1" applyFont="1" applyFill="1" applyBorder="1"/>
    <xf numFmtId="165" fontId="170" fillId="0" borderId="68" xfId="13" applyNumberFormat="1" applyFont="1" applyBorder="1"/>
    <xf numFmtId="165" fontId="170" fillId="0" borderId="68" xfId="13" applyNumberFormat="1" applyFont="1" applyFill="1" applyBorder="1" applyAlignment="1">
      <alignment horizontal="center"/>
    </xf>
    <xf numFmtId="165" fontId="170" fillId="0" borderId="68" xfId="13" applyNumberFormat="1" applyFont="1" applyFill="1" applyBorder="1" applyAlignment="1">
      <alignment horizontal="right"/>
    </xf>
    <xf numFmtId="165" fontId="170" fillId="0" borderId="23" xfId="13" applyNumberFormat="1" applyFont="1" applyFill="1" applyBorder="1"/>
    <xf numFmtId="165" fontId="170" fillId="0" borderId="23" xfId="13" applyNumberFormat="1" applyFont="1" applyFill="1" applyBorder="1" applyAlignment="1">
      <alignment horizontal="right"/>
    </xf>
    <xf numFmtId="167" fontId="170" fillId="0" borderId="68" xfId="13" applyNumberFormat="1" applyFont="1" applyFill="1" applyBorder="1" applyAlignment="1">
      <alignment horizontal="right"/>
    </xf>
    <xf numFmtId="167" fontId="170" fillId="0" borderId="68" xfId="13" applyNumberFormat="1" applyFont="1" applyFill="1" applyBorder="1"/>
    <xf numFmtId="171" fontId="170" fillId="0" borderId="68" xfId="13" applyNumberFormat="1" applyFont="1" applyFill="1" applyBorder="1"/>
    <xf numFmtId="0" fontId="166" fillId="0" borderId="0" xfId="0" applyFont="1" applyFill="1" applyAlignment="1">
      <alignment horizontal="center" vertical="center"/>
    </xf>
    <xf numFmtId="3" fontId="166" fillId="3" borderId="85" xfId="0" applyNumberFormat="1" applyFont="1" applyFill="1" applyBorder="1" applyAlignment="1">
      <alignment horizontal="center" vertical="center" wrapText="1"/>
    </xf>
    <xf numFmtId="0" fontId="171" fillId="0" borderId="0" xfId="10" applyFont="1" applyFill="1" applyBorder="1" applyAlignment="1">
      <alignment horizontal="right" vertical="center"/>
    </xf>
    <xf numFmtId="42" fontId="166" fillId="0" borderId="38" xfId="1" applyNumberFormat="1" applyFont="1" applyFill="1" applyBorder="1" applyAlignment="1">
      <alignment horizontal="center" vertical="center"/>
    </xf>
    <xf numFmtId="42" fontId="168" fillId="0" borderId="0" xfId="1" quotePrefix="1" applyNumberFormat="1" applyFont="1" applyBorder="1" applyAlignment="1">
      <alignment horizontal="center" vertical="center"/>
    </xf>
    <xf numFmtId="175" fontId="170" fillId="0" borderId="0" xfId="51115" applyNumberFormat="1" applyFont="1" applyFill="1" applyBorder="1" applyAlignment="1">
      <alignment horizontal="right"/>
    </xf>
    <xf numFmtId="167" fontId="168" fillId="0" borderId="0" xfId="13" applyNumberFormat="1" applyFont="1" applyFill="1" applyAlignment="1"/>
    <xf numFmtId="0" fontId="168" fillId="0" borderId="0" xfId="20327" applyFont="1"/>
    <xf numFmtId="0" fontId="174" fillId="0" borderId="0" xfId="20327" applyFont="1" applyAlignment="1">
      <alignment horizontal="center"/>
    </xf>
    <xf numFmtId="0" fontId="194" fillId="0" borderId="0" xfId="20327" applyFont="1" applyAlignment="1">
      <alignment horizontal="center"/>
    </xf>
    <xf numFmtId="0" fontId="178" fillId="0" borderId="0" xfId="20327" applyFont="1" applyAlignment="1">
      <alignment horizontal="center"/>
    </xf>
    <xf numFmtId="0" fontId="195" fillId="3" borderId="2" xfId="20327" applyFont="1" applyFill="1" applyBorder="1" applyAlignment="1">
      <alignment horizontal="center" wrapText="1"/>
    </xf>
    <xf numFmtId="0" fontId="195" fillId="3" borderId="4" xfId="20327" applyFont="1" applyFill="1" applyBorder="1" applyAlignment="1">
      <alignment horizontal="center" wrapText="1"/>
    </xf>
    <xf numFmtId="0" fontId="168" fillId="0" borderId="0" xfId="20327" applyFont="1" applyAlignment="1">
      <alignment wrapText="1"/>
    </xf>
    <xf numFmtId="0" fontId="170" fillId="0" borderId="68" xfId="20327" applyFont="1" applyBorder="1"/>
    <xf numFmtId="0" fontId="170" fillId="0" borderId="69" xfId="20327" applyFont="1" applyBorder="1"/>
    <xf numFmtId="0" fontId="170" fillId="0" borderId="68" xfId="20327" applyFont="1" applyBorder="1" applyAlignment="1">
      <alignment shrinkToFit="1"/>
    </xf>
    <xf numFmtId="0" fontId="167" fillId="0" borderId="69" xfId="20327" applyFont="1" applyFill="1" applyBorder="1" applyAlignment="1"/>
    <xf numFmtId="0" fontId="170" fillId="0" borderId="69" xfId="20327" applyFont="1" applyFill="1" applyBorder="1" applyAlignment="1"/>
    <xf numFmtId="0" fontId="168" fillId="0" borderId="0" xfId="20327" applyFont="1" applyBorder="1"/>
    <xf numFmtId="3" fontId="168" fillId="0" borderId="0" xfId="20327" applyNumberFormat="1" applyFont="1" applyBorder="1"/>
    <xf numFmtId="0" fontId="166" fillId="0" borderId="0" xfId="20327" applyFont="1" applyBorder="1"/>
    <xf numFmtId="3" fontId="166" fillId="0" borderId="0" xfId="20327" applyNumberFormat="1" applyFont="1" applyBorder="1"/>
    <xf numFmtId="0" fontId="166" fillId="0" borderId="0" xfId="20327" applyFont="1"/>
    <xf numFmtId="0" fontId="170" fillId="0" borderId="68" xfId="20327" applyFont="1" applyFill="1" applyBorder="1" applyAlignment="1">
      <alignment shrinkToFit="1"/>
    </xf>
    <xf numFmtId="0" fontId="168" fillId="0" borderId="0" xfId="20327" applyFont="1" applyFill="1" applyBorder="1"/>
    <xf numFmtId="0" fontId="168" fillId="0" borderId="0" xfId="20327" applyFont="1" applyFill="1"/>
    <xf numFmtId="0" fontId="170" fillId="0" borderId="68" xfId="20327" applyFont="1" applyFill="1" applyBorder="1" applyAlignment="1"/>
    <xf numFmtId="0" fontId="170" fillId="0" borderId="11" xfId="20327" applyFont="1" applyFill="1" applyBorder="1" applyAlignment="1"/>
    <xf numFmtId="0" fontId="169" fillId="0" borderId="0" xfId="20327" applyFont="1" applyBorder="1"/>
    <xf numFmtId="0" fontId="180" fillId="0" borderId="0" xfId="20327" applyFont="1" applyBorder="1"/>
    <xf numFmtId="0" fontId="123" fillId="0" borderId="0" xfId="20327" applyBorder="1"/>
    <xf numFmtId="0" fontId="123" fillId="0" borderId="0" xfId="20327"/>
    <xf numFmtId="0" fontId="169" fillId="0" borderId="0" xfId="20327" applyFont="1" applyBorder="1" applyAlignment="1">
      <alignment horizontal="right"/>
    </xf>
    <xf numFmtId="0" fontId="180" fillId="0" borderId="0" xfId="20327" applyFont="1"/>
    <xf numFmtId="0" fontId="180" fillId="0" borderId="0" xfId="20327" applyFont="1" applyFill="1" applyBorder="1"/>
    <xf numFmtId="0" fontId="123" fillId="0" borderId="0" xfId="20327" applyFont="1"/>
    <xf numFmtId="0" fontId="168" fillId="0" borderId="0" xfId="20327" applyFont="1" applyBorder="1" applyAlignment="1">
      <alignment shrinkToFit="1"/>
    </xf>
    <xf numFmtId="0" fontId="123" fillId="0" borderId="0" xfId="20327" applyFill="1"/>
    <xf numFmtId="0" fontId="166" fillId="0" borderId="86" xfId="4300" applyFont="1" applyBorder="1" applyAlignment="1">
      <alignment horizontal="center"/>
    </xf>
    <xf numFmtId="0" fontId="166" fillId="0" borderId="87" xfId="4300" applyFont="1" applyBorder="1" applyAlignment="1">
      <alignment horizontal="center"/>
    </xf>
    <xf numFmtId="0" fontId="166" fillId="0" borderId="88" xfId="4300" applyFont="1" applyBorder="1" applyAlignment="1">
      <alignment horizontal="center"/>
    </xf>
    <xf numFmtId="0" fontId="166" fillId="28" borderId="89" xfId="4300" applyFont="1" applyFill="1" applyBorder="1" applyAlignment="1">
      <alignment horizontal="center"/>
    </xf>
    <xf numFmtId="0" fontId="168" fillId="0" borderId="2" xfId="0" applyFont="1" applyFill="1" applyBorder="1" applyAlignment="1">
      <alignment vertical="center"/>
    </xf>
    <xf numFmtId="14" fontId="114" fillId="0" borderId="0" xfId="4300" applyNumberFormat="1" applyFill="1" applyAlignment="1">
      <alignment horizontal="center" vertical="center"/>
    </xf>
    <xf numFmtId="0" fontId="114" fillId="0" borderId="0" xfId="4300" applyFill="1" applyAlignment="1">
      <alignment horizontal="center" vertical="center"/>
    </xf>
    <xf numFmtId="0" fontId="166" fillId="0" borderId="90" xfId="4300" applyFont="1" applyFill="1" applyBorder="1" applyAlignment="1">
      <alignment horizontal="justify" vertical="center"/>
    </xf>
    <xf numFmtId="0" fontId="166" fillId="0" borderId="90" xfId="4300" applyFont="1" applyFill="1" applyBorder="1" applyAlignment="1">
      <alignment horizontal="center" vertical="center"/>
    </xf>
    <xf numFmtId="0" fontId="166" fillId="0" borderId="0" xfId="0" applyFont="1" applyFill="1" applyAlignment="1">
      <alignment horizontal="center" vertical="center"/>
    </xf>
    <xf numFmtId="165" fontId="168" fillId="0" borderId="0" xfId="0" applyNumberFormat="1" applyFont="1"/>
    <xf numFmtId="3" fontId="171" fillId="3" borderId="91" xfId="0" applyNumberFormat="1" applyFont="1" applyFill="1" applyBorder="1" applyAlignment="1">
      <alignment horizontal="center" vertical="center" wrapText="1"/>
    </xf>
    <xf numFmtId="42" fontId="168" fillId="0" borderId="0" xfId="0" applyNumberFormat="1" applyFont="1" applyFill="1"/>
    <xf numFmtId="42" fontId="205" fillId="0" borderId="0" xfId="0" applyNumberFormat="1" applyFont="1" applyFill="1" applyBorder="1" applyAlignment="1"/>
    <xf numFmtId="42" fontId="166" fillId="0" borderId="0" xfId="1" applyNumberFormat="1" applyFont="1" applyFill="1" applyBorder="1" applyAlignment="1">
      <alignment horizontal="center"/>
    </xf>
    <xf numFmtId="42" fontId="166" fillId="0" borderId="0" xfId="1" quotePrefix="1" applyNumberFormat="1" applyFont="1" applyFill="1" applyBorder="1" applyAlignment="1">
      <alignment horizontal="center" vertical="center"/>
    </xf>
    <xf numFmtId="0" fontId="121" fillId="0" borderId="0" xfId="0" quotePrefix="1" applyFont="1" applyFill="1" applyBorder="1" applyAlignment="1">
      <alignment vertical="center"/>
    </xf>
    <xf numFmtId="173" fontId="121" fillId="0" borderId="0" xfId="0" applyNumberFormat="1" applyFont="1" applyFill="1" applyAlignment="1">
      <alignment vertical="center"/>
    </xf>
    <xf numFmtId="0" fontId="204" fillId="0" borderId="0" xfId="51133" applyFont="1"/>
    <xf numFmtId="0" fontId="166" fillId="0" borderId="91" xfId="51133" applyFont="1" applyBorder="1" applyAlignment="1">
      <alignment horizontal="center"/>
    </xf>
    <xf numFmtId="167" fontId="166" fillId="0" borderId="91" xfId="16" applyNumberFormat="1" applyFont="1" applyFill="1" applyBorder="1" applyAlignment="1">
      <alignment horizontal="center"/>
    </xf>
    <xf numFmtId="167" fontId="206" fillId="0" borderId="91" xfId="14204" applyNumberFormat="1" applyFont="1" applyFill="1" applyBorder="1" applyAlignment="1">
      <alignment horizontal="center"/>
    </xf>
    <xf numFmtId="0" fontId="166" fillId="3" borderId="2" xfId="51133" applyFont="1" applyFill="1" applyBorder="1"/>
    <xf numFmtId="0" fontId="166" fillId="3" borderId="2" xfId="51133" applyFont="1" applyFill="1" applyBorder="1" applyAlignment="1">
      <alignment horizontal="center"/>
    </xf>
    <xf numFmtId="5" fontId="169" fillId="0" borderId="69" xfId="10" applyNumberFormat="1" applyFont="1" applyBorder="1" applyAlignment="1">
      <alignment horizontal="left" vertical="center"/>
    </xf>
    <xf numFmtId="0" fontId="168" fillId="0" borderId="69" xfId="51133" applyFont="1" applyBorder="1"/>
    <xf numFmtId="43" fontId="204" fillId="0" borderId="0" xfId="51133" applyNumberFormat="1" applyFont="1"/>
    <xf numFmtId="164" fontId="166" fillId="0" borderId="4" xfId="51133" applyNumberFormat="1" applyFont="1" applyBorder="1" applyAlignment="1">
      <alignment horizontal="left" indent="3"/>
    </xf>
    <xf numFmtId="0" fontId="166" fillId="0" borderId="4" xfId="51133" applyFont="1" applyBorder="1"/>
    <xf numFmtId="37" fontId="169" fillId="0" borderId="69" xfId="10" applyNumberFormat="1" applyFont="1" applyBorder="1" applyAlignment="1">
      <alignment horizontal="left" vertical="center"/>
    </xf>
    <xf numFmtId="0" fontId="168" fillId="0" borderId="8" xfId="51133" applyFont="1" applyBorder="1"/>
    <xf numFmtId="164" fontId="166" fillId="0" borderId="12" xfId="51133" applyNumberFormat="1" applyFont="1" applyBorder="1"/>
    <xf numFmtId="164" fontId="166" fillId="0" borderId="4" xfId="51133" applyNumberFormat="1" applyFont="1" applyBorder="1"/>
    <xf numFmtId="0" fontId="168" fillId="0" borderId="0" xfId="51133" applyFont="1"/>
    <xf numFmtId="43" fontId="168" fillId="0" borderId="0" xfId="51133" applyNumberFormat="1" applyFont="1"/>
    <xf numFmtId="0" fontId="171" fillId="0" borderId="0" xfId="51133" applyFont="1" applyAlignment="1">
      <alignment horizontal="center" vertical="center"/>
    </xf>
    <xf numFmtId="0" fontId="168" fillId="0" borderId="0" xfId="51133" applyFont="1" applyAlignment="1">
      <alignment vertical="top" wrapText="1"/>
    </xf>
    <xf numFmtId="0" fontId="2" fillId="0" borderId="0" xfId="51133" applyAlignment="1">
      <alignment wrapText="1"/>
    </xf>
    <xf numFmtId="0" fontId="2" fillId="0" borderId="0" xfId="51133"/>
    <xf numFmtId="167" fontId="204" fillId="0" borderId="0" xfId="51133" applyNumberFormat="1" applyFont="1"/>
    <xf numFmtId="0" fontId="166" fillId="0" borderId="0" xfId="20327" applyFont="1" applyAlignment="1">
      <alignment horizontal="center"/>
    </xf>
    <xf numFmtId="0" fontId="184" fillId="0" borderId="0" xfId="51134" applyFont="1"/>
    <xf numFmtId="0" fontId="1" fillId="0" borderId="0" xfId="51134"/>
    <xf numFmtId="1" fontId="1" fillId="0" borderId="0" xfId="51134" applyNumberFormat="1"/>
    <xf numFmtId="38" fontId="1" fillId="0" borderId="0" xfId="51134" applyNumberFormat="1" applyFill="1"/>
    <xf numFmtId="43" fontId="0" fillId="0" borderId="0" xfId="51135" applyFont="1"/>
    <xf numFmtId="1" fontId="184" fillId="0" borderId="0" xfId="51134" applyNumberFormat="1" applyFont="1"/>
    <xf numFmtId="0" fontId="183" fillId="30" borderId="63" xfId="51134" applyFont="1" applyFill="1" applyBorder="1" applyAlignment="1">
      <alignment horizontal="centerContinuous"/>
    </xf>
    <xf numFmtId="0" fontId="183" fillId="30" borderId="44" xfId="51134" applyFont="1" applyFill="1" applyBorder="1" applyAlignment="1">
      <alignment horizontal="centerContinuous"/>
    </xf>
    <xf numFmtId="0" fontId="183" fillId="30" borderId="64" xfId="51134" applyFont="1" applyFill="1" applyBorder="1" applyAlignment="1">
      <alignment horizontal="centerContinuous"/>
    </xf>
    <xf numFmtId="0" fontId="184" fillId="0" borderId="0" xfId="51134" applyFont="1" applyFill="1" applyBorder="1"/>
    <xf numFmtId="0" fontId="184" fillId="29" borderId="44" xfId="51134" applyFont="1" applyFill="1" applyBorder="1"/>
    <xf numFmtId="0" fontId="184" fillId="29" borderId="64" xfId="51134" applyFont="1" applyFill="1" applyBorder="1"/>
    <xf numFmtId="165" fontId="184" fillId="29" borderId="29" xfId="51135" applyNumberFormat="1" applyFont="1" applyFill="1" applyBorder="1"/>
    <xf numFmtId="165" fontId="184" fillId="29" borderId="0" xfId="51135" applyNumberFormat="1" applyFont="1" applyFill="1" applyBorder="1"/>
    <xf numFmtId="0" fontId="183" fillId="30" borderId="30" xfId="51134" applyFont="1" applyFill="1" applyBorder="1" applyAlignment="1">
      <alignment horizontal="center"/>
    </xf>
    <xf numFmtId="0" fontId="184" fillId="0" borderId="29" xfId="51134" applyFont="1" applyBorder="1"/>
    <xf numFmtId="0" fontId="184" fillId="0" borderId="0" xfId="51134" applyFont="1" applyBorder="1"/>
    <xf numFmtId="0" fontId="184" fillId="0" borderId="30" xfId="51134" applyFont="1" applyBorder="1"/>
    <xf numFmtId="3" fontId="186" fillId="0" borderId="29" xfId="51135" applyNumberFormat="1" applyFont="1" applyBorder="1"/>
    <xf numFmtId="3" fontId="186" fillId="0" borderId="0" xfId="51135" applyNumberFormat="1" applyFont="1" applyBorder="1"/>
    <xf numFmtId="3" fontId="184" fillId="31" borderId="30" xfId="51135" applyNumberFormat="1" applyFont="1" applyFill="1" applyBorder="1"/>
    <xf numFmtId="0" fontId="184" fillId="0" borderId="29" xfId="51134" applyFont="1" applyFill="1" applyBorder="1"/>
    <xf numFmtId="0" fontId="184" fillId="0" borderId="30" xfId="51134" applyFont="1" applyFill="1" applyBorder="1"/>
    <xf numFmtId="3" fontId="186" fillId="0" borderId="0" xfId="51135" applyNumberFormat="1" applyFont="1" applyFill="1" applyBorder="1"/>
    <xf numFmtId="0" fontId="1" fillId="0" borderId="0" xfId="51134" applyFill="1"/>
    <xf numFmtId="0" fontId="184" fillId="0" borderId="60" xfId="51134" applyFont="1" applyBorder="1"/>
    <xf numFmtId="0" fontId="184" fillId="32" borderId="58" xfId="51134" applyFont="1" applyFill="1" applyBorder="1"/>
    <xf numFmtId="0" fontId="184" fillId="32" borderId="61" xfId="51134" applyFont="1" applyFill="1" applyBorder="1"/>
    <xf numFmtId="3" fontId="185" fillId="32" borderId="60" xfId="51135" applyNumberFormat="1" applyFont="1" applyFill="1" applyBorder="1"/>
    <xf numFmtId="3" fontId="185" fillId="32" borderId="58" xfId="51135" applyNumberFormat="1" applyFont="1" applyFill="1" applyBorder="1"/>
    <xf numFmtId="165" fontId="185" fillId="0" borderId="0" xfId="51135" applyNumberFormat="1" applyFont="1" applyFill="1" applyBorder="1"/>
    <xf numFmtId="0" fontId="185" fillId="0" borderId="0" xfId="51134" applyFont="1" applyFill="1" applyBorder="1"/>
    <xf numFmtId="0" fontId="185" fillId="30" borderId="44" xfId="51134" applyFont="1" applyFill="1" applyBorder="1" applyAlignment="1">
      <alignment horizontal="centerContinuous"/>
    </xf>
    <xf numFmtId="0" fontId="185" fillId="30" borderId="64" xfId="51134" applyFont="1" applyFill="1" applyBorder="1" applyAlignment="1">
      <alignment horizontal="centerContinuous"/>
    </xf>
    <xf numFmtId="0" fontId="184" fillId="29" borderId="63" xfId="51134" applyFont="1" applyFill="1" applyBorder="1"/>
    <xf numFmtId="165" fontId="185" fillId="29" borderId="29" xfId="51135" applyNumberFormat="1" applyFont="1" applyFill="1" applyBorder="1"/>
    <xf numFmtId="165" fontId="185" fillId="29" borderId="0" xfId="51135" applyNumberFormat="1" applyFont="1" applyFill="1" applyBorder="1"/>
    <xf numFmtId="4" fontId="186" fillId="0" borderId="0" xfId="51135" applyNumberFormat="1" applyFont="1" applyBorder="1"/>
    <xf numFmtId="165" fontId="184" fillId="31" borderId="30" xfId="51135" applyNumberFormat="1" applyFont="1" applyFill="1" applyBorder="1"/>
    <xf numFmtId="0" fontId="184" fillId="31" borderId="29" xfId="51134" applyFont="1" applyFill="1" applyBorder="1"/>
    <xf numFmtId="0" fontId="184" fillId="31" borderId="0" xfId="51134" applyFont="1" applyFill="1" applyBorder="1"/>
    <xf numFmtId="0" fontId="184" fillId="31" borderId="30" xfId="51134" applyFont="1" applyFill="1" applyBorder="1"/>
    <xf numFmtId="165" fontId="185" fillId="31" borderId="29" xfId="51135" applyNumberFormat="1" applyFont="1" applyFill="1" applyBorder="1"/>
    <xf numFmtId="165" fontId="185" fillId="31" borderId="0" xfId="51135" applyNumberFormat="1" applyFont="1" applyFill="1" applyBorder="1"/>
    <xf numFmtId="165" fontId="185" fillId="31" borderId="30" xfId="51135" applyNumberFormat="1" applyFont="1" applyFill="1" applyBorder="1"/>
    <xf numFmtId="0" fontId="1" fillId="0" borderId="0" xfId="51134" applyFont="1"/>
    <xf numFmtId="0" fontId="184" fillId="0" borderId="0" xfId="51134" applyFont="1" applyFill="1" applyBorder="1" applyAlignment="1">
      <alignment horizontal="left"/>
    </xf>
    <xf numFmtId="165" fontId="184" fillId="0" borderId="29" xfId="51135" applyNumberFormat="1" applyFont="1" applyBorder="1"/>
    <xf numFmtId="165" fontId="184" fillId="0" borderId="0" xfId="51135" applyNumberFormat="1" applyFont="1" applyBorder="1"/>
    <xf numFmtId="0" fontId="184" fillId="32" borderId="60" xfId="51134" applyFont="1" applyFill="1" applyBorder="1"/>
    <xf numFmtId="165" fontId="184" fillId="32" borderId="0" xfId="51135" applyNumberFormat="1" applyFont="1" applyFill="1" applyBorder="1"/>
    <xf numFmtId="165" fontId="184" fillId="32" borderId="30" xfId="51135" applyNumberFormat="1" applyFont="1" applyFill="1" applyBorder="1"/>
    <xf numFmtId="0" fontId="1" fillId="0" borderId="63" xfId="51134" applyBorder="1"/>
    <xf numFmtId="0" fontId="1" fillId="0" borderId="44" xfId="51134" applyBorder="1"/>
    <xf numFmtId="0" fontId="184" fillId="31" borderId="64" xfId="51134" applyFont="1" applyFill="1" applyBorder="1"/>
    <xf numFmtId="165" fontId="184" fillId="0" borderId="0" xfId="51135" applyNumberFormat="1" applyFont="1"/>
    <xf numFmtId="166" fontId="184" fillId="0" borderId="29" xfId="51135" applyNumberFormat="1" applyFont="1" applyBorder="1"/>
    <xf numFmtId="166" fontId="184" fillId="0" borderId="0" xfId="51135" applyNumberFormat="1" applyFont="1" applyBorder="1"/>
    <xf numFmtId="166" fontId="184" fillId="31" borderId="30" xfId="51135" applyNumberFormat="1" applyFont="1" applyFill="1" applyBorder="1"/>
    <xf numFmtId="166" fontId="184" fillId="0" borderId="0" xfId="51135" applyNumberFormat="1" applyFont="1"/>
    <xf numFmtId="166" fontId="184" fillId="0" borderId="60" xfId="51135" applyNumberFormat="1" applyFont="1" applyBorder="1"/>
    <xf numFmtId="166" fontId="184" fillId="0" borderId="58" xfId="51135" applyNumberFormat="1" applyFont="1" applyBorder="1"/>
    <xf numFmtId="166" fontId="184" fillId="31" borderId="61" xfId="51135" applyNumberFormat="1" applyFont="1" applyFill="1" applyBorder="1"/>
    <xf numFmtId="165" fontId="184" fillId="0" borderId="0" xfId="51134" applyNumberFormat="1" applyFont="1"/>
    <xf numFmtId="38" fontId="1" fillId="0" borderId="0" xfId="51134" applyNumberFormat="1"/>
    <xf numFmtId="0" fontId="185" fillId="0" borderId="0" xfId="51134" applyFont="1"/>
    <xf numFmtId="0" fontId="184" fillId="31" borderId="0" xfId="51134" applyFont="1" applyFill="1"/>
    <xf numFmtId="165" fontId="184" fillId="31" borderId="0" xfId="51135" applyNumberFormat="1" applyFont="1" applyFill="1" applyBorder="1"/>
    <xf numFmtId="3" fontId="185" fillId="31" borderId="0" xfId="51135" applyNumberFormat="1" applyFont="1" applyFill="1" applyBorder="1"/>
    <xf numFmtId="0" fontId="184" fillId="0" borderId="0" xfId="51134" applyFont="1" applyAlignment="1">
      <alignment horizontal="left"/>
    </xf>
    <xf numFmtId="3" fontId="184" fillId="0" borderId="0" xfId="51135" applyNumberFormat="1" applyFont="1" applyBorder="1"/>
    <xf numFmtId="3" fontId="184" fillId="32" borderId="0" xfId="51135" applyNumberFormat="1" applyFont="1" applyFill="1" applyBorder="1"/>
    <xf numFmtId="165" fontId="1" fillId="0" borderId="0" xfId="51134" applyNumberFormat="1"/>
    <xf numFmtId="165" fontId="184" fillId="32" borderId="83" xfId="51135" applyNumberFormat="1" applyFont="1" applyFill="1" applyBorder="1"/>
    <xf numFmtId="165" fontId="184" fillId="32" borderId="58" xfId="51135" applyNumberFormat="1" applyFont="1" applyFill="1" applyBorder="1"/>
    <xf numFmtId="0" fontId="184" fillId="0" borderId="0" xfId="51134" quotePrefix="1" applyFont="1" applyFill="1" applyBorder="1"/>
    <xf numFmtId="0" fontId="1" fillId="0" borderId="91" xfId="51134" applyBorder="1"/>
    <xf numFmtId="38" fontId="184" fillId="0" borderId="0" xfId="51134" applyNumberFormat="1" applyFont="1" applyFill="1" applyAlignment="1">
      <alignment horizontal="left"/>
    </xf>
    <xf numFmtId="38" fontId="209" fillId="0" borderId="67" xfId="50983" applyNumberFormat="1" applyFont="1" applyBorder="1"/>
    <xf numFmtId="0" fontId="121" fillId="0" borderId="72" xfId="4300" applyFont="1" applyBorder="1" applyAlignment="1">
      <alignment horizontal="left" vertical="top" wrapText="1"/>
    </xf>
    <xf numFmtId="0" fontId="121" fillId="0" borderId="73" xfId="4300" applyFont="1" applyBorder="1" applyAlignment="1">
      <alignment horizontal="left" vertical="top" wrapText="1"/>
    </xf>
    <xf numFmtId="0" fontId="171" fillId="0" borderId="0" xfId="0" applyFont="1" applyFill="1" applyAlignment="1">
      <alignment horizontal="center" vertical="center"/>
    </xf>
    <xf numFmtId="0" fontId="166" fillId="0" borderId="0" xfId="0" applyFont="1" applyFill="1" applyAlignment="1">
      <alignment horizontal="center" vertical="center"/>
    </xf>
    <xf numFmtId="0" fontId="166" fillId="0" borderId="0" xfId="0" applyFont="1" applyFill="1" applyBorder="1" applyAlignment="1">
      <alignment horizontal="center" vertical="center"/>
    </xf>
    <xf numFmtId="0" fontId="166" fillId="0" borderId="47" xfId="4300" applyFont="1" applyFill="1" applyBorder="1" applyAlignment="1">
      <alignment horizontal="center"/>
    </xf>
    <xf numFmtId="0" fontId="166" fillId="0" borderId="48" xfId="4300" applyFont="1" applyFill="1" applyBorder="1" applyAlignment="1">
      <alignment horizontal="center"/>
    </xf>
    <xf numFmtId="0" fontId="166" fillId="0" borderId="49" xfId="4300" applyFont="1" applyFill="1" applyBorder="1" applyAlignment="1">
      <alignment horizontal="center" vertical="center"/>
    </xf>
    <xf numFmtId="0" fontId="166" fillId="0" borderId="50" xfId="4300" applyFont="1" applyFill="1" applyBorder="1" applyAlignment="1">
      <alignment horizontal="center" vertical="center"/>
    </xf>
    <xf numFmtId="0" fontId="168" fillId="0" borderId="0" xfId="51133" applyFont="1" applyAlignment="1">
      <alignment vertical="top" wrapText="1"/>
    </xf>
    <xf numFmtId="0" fontId="2" fillId="0" borderId="0" xfId="51133" applyAlignment="1">
      <alignment wrapText="1"/>
    </xf>
    <xf numFmtId="0" fontId="166" fillId="0" borderId="0" xfId="51133" applyFont="1" applyAlignment="1">
      <alignment horizontal="center"/>
    </xf>
    <xf numFmtId="0" fontId="166" fillId="0" borderId="4" xfId="51133" applyFont="1" applyBorder="1" applyAlignment="1">
      <alignment horizontal="center"/>
    </xf>
    <xf numFmtId="0" fontId="166" fillId="0" borderId="9" xfId="51133" applyFont="1" applyBorder="1" applyAlignment="1">
      <alignment horizontal="center"/>
    </xf>
    <xf numFmtId="0" fontId="166" fillId="0" borderId="4" xfId="10" applyFont="1" applyFill="1" applyBorder="1" applyAlignment="1">
      <alignment horizontal="right" vertical="center"/>
    </xf>
    <xf numFmtId="0" fontId="166" fillId="0" borderId="9" xfId="10" applyFont="1" applyFill="1" applyBorder="1" applyAlignment="1">
      <alignment horizontal="right" vertical="center"/>
    </xf>
    <xf numFmtId="0" fontId="168" fillId="5" borderId="8" xfId="0" applyFont="1" applyFill="1" applyBorder="1" applyAlignment="1">
      <alignment horizontal="center"/>
    </xf>
    <xf numFmtId="0" fontId="168" fillId="5" borderId="10" xfId="0" applyFont="1" applyFill="1" applyBorder="1" applyAlignment="1">
      <alignment horizontal="center"/>
    </xf>
    <xf numFmtId="0" fontId="166" fillId="5" borderId="4" xfId="0" applyFont="1" applyFill="1" applyBorder="1" applyAlignment="1">
      <alignment horizontal="center"/>
    </xf>
    <xf numFmtId="0" fontId="166" fillId="5" borderId="12" xfId="0" applyFont="1" applyFill="1" applyBorder="1" applyAlignment="1">
      <alignment horizontal="center"/>
    </xf>
    <xf numFmtId="0" fontId="171" fillId="0" borderId="4" xfId="10" applyFont="1" applyFill="1" applyBorder="1" applyAlignment="1">
      <alignment horizontal="right" vertical="center"/>
    </xf>
    <xf numFmtId="0" fontId="171" fillId="0" borderId="9" xfId="10" applyFont="1" applyFill="1" applyBorder="1" applyAlignment="1">
      <alignment horizontal="right" vertical="center"/>
    </xf>
    <xf numFmtId="0" fontId="171" fillId="0" borderId="0" xfId="50939" applyFont="1" applyAlignment="1">
      <alignment horizontal="center"/>
    </xf>
    <xf numFmtId="0" fontId="180" fillId="0" borderId="0" xfId="4300" applyFont="1" applyAlignment="1">
      <alignment horizontal="center"/>
    </xf>
    <xf numFmtId="0" fontId="166" fillId="0" borderId="0" xfId="50939" applyFont="1" applyAlignment="1">
      <alignment horizontal="center"/>
    </xf>
    <xf numFmtId="0" fontId="167" fillId="0" borderId="0" xfId="4300" applyFont="1" applyAlignment="1">
      <alignment horizontal="center"/>
    </xf>
    <xf numFmtId="170" fontId="166" fillId="0" borderId="0" xfId="50939" quotePrefix="1" applyNumberFormat="1" applyFont="1" applyAlignment="1">
      <alignment horizontal="center"/>
    </xf>
    <xf numFmtId="170" fontId="167" fillId="0" borderId="0" xfId="4300" applyNumberFormat="1" applyFont="1" applyAlignment="1">
      <alignment horizontal="center"/>
    </xf>
    <xf numFmtId="0" fontId="171" fillId="0" borderId="0" xfId="3" applyFont="1" applyFill="1" applyBorder="1" applyAlignment="1">
      <alignment horizontal="left"/>
    </xf>
    <xf numFmtId="0" fontId="169" fillId="0" borderId="0" xfId="0" applyFont="1" applyBorder="1"/>
    <xf numFmtId="0" fontId="166" fillId="0" borderId="0" xfId="20327" applyFont="1" applyAlignment="1">
      <alignment horizontal="center"/>
    </xf>
    <xf numFmtId="49" fontId="166" fillId="0" borderId="0" xfId="20327" applyNumberFormat="1" applyFont="1" applyAlignment="1">
      <alignment horizontal="center"/>
    </xf>
    <xf numFmtId="0" fontId="179" fillId="0" borderId="0" xfId="20327" applyFont="1" applyAlignment="1">
      <alignment horizontal="center"/>
    </xf>
    <xf numFmtId="0" fontId="172" fillId="0" borderId="0" xfId="20327" applyFont="1" applyBorder="1" applyAlignment="1">
      <alignment shrinkToFit="1"/>
    </xf>
    <xf numFmtId="0" fontId="117" fillId="0" borderId="0" xfId="0" applyFont="1" applyFill="1" applyBorder="1" applyAlignment="1">
      <alignment horizontal="center"/>
    </xf>
    <xf numFmtId="0" fontId="153" fillId="0" borderId="0" xfId="3" applyFont="1" applyFill="1" applyAlignment="1">
      <alignment horizontal="center"/>
    </xf>
    <xf numFmtId="0" fontId="117" fillId="0" borderId="0" xfId="3" applyFont="1" applyFill="1" applyAlignment="1">
      <alignment horizontal="center"/>
    </xf>
    <xf numFmtId="0" fontId="166" fillId="0" borderId="0" xfId="4300" applyFont="1" applyFill="1" applyAlignment="1">
      <alignment horizontal="center"/>
    </xf>
    <xf numFmtId="49" fontId="166" fillId="0" borderId="0" xfId="4300" applyNumberFormat="1" applyFont="1" applyFill="1" applyAlignment="1">
      <alignment horizontal="center"/>
    </xf>
    <xf numFmtId="172" fontId="166" fillId="0" borderId="37" xfId="10" applyNumberFormat="1" applyFont="1" applyFill="1" applyBorder="1"/>
  </cellXfs>
  <cellStyles count="51136">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80" xfId="51128" xr:uid="{DD5419CF-4E77-4CD9-808A-70A3ECF7F6E2}"/>
    <cellStyle name="Comma 81" xfId="51132" xr:uid="{232FBF90-825B-4DFA-B02F-59FD417E000D}"/>
    <cellStyle name="Comma 82" xfId="51135" xr:uid="{41698B70-46B1-4632-B7BA-AC1FBF157676}"/>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21" xfId="51127" xr:uid="{1E482B80-9307-4CDB-8A73-83576420FE5A}"/>
    <cellStyle name="Normal 122" xfId="51131" xr:uid="{EB6EEDED-1060-4889-8B89-DFF9EE4AF51D}"/>
    <cellStyle name="Normal 123" xfId="51134" xr:uid="{6F5134F5-FF1A-41B8-9719-3275B5EFD06D}"/>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36" xfId="51129" xr:uid="{F7AC592A-62FE-4D71-955D-4BDA3D00B483}"/>
    <cellStyle name="Normal 2 37" xfId="51130" xr:uid="{067BE7CE-0078-43C3-8C5B-3C185F94BED8}"/>
    <cellStyle name="Normal 2 38" xfId="51133" xr:uid="{5681B41A-4924-4355-AAA0-40E1D2C01181}"/>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A4" sqref="A4"/>
    </sheetView>
  </sheetViews>
  <sheetFormatPr defaultColWidth="9.109375" defaultRowHeight="13.2"/>
  <cols>
    <col min="1" max="1" width="33.33203125" style="336" customWidth="1"/>
    <col min="2" max="2" width="117.33203125" style="336" customWidth="1"/>
    <col min="3" max="3" width="9.109375" style="336" customWidth="1"/>
    <col min="4" max="16384" width="9.109375" style="336"/>
  </cols>
  <sheetData>
    <row r="1" spans="1:13" ht="16.2" thickTop="1">
      <c r="A1" s="387" t="s">
        <v>494</v>
      </c>
      <c r="B1" s="388"/>
      <c r="C1" s="100"/>
      <c r="D1" s="100"/>
      <c r="E1" s="100"/>
      <c r="F1" s="100"/>
      <c r="G1" s="100"/>
      <c r="H1" s="100"/>
      <c r="I1" s="100"/>
      <c r="J1" s="100"/>
      <c r="K1" s="100"/>
      <c r="L1" s="100"/>
      <c r="M1" s="100"/>
    </row>
    <row r="2" spans="1:13" ht="128.4" customHeight="1">
      <c r="A2" s="620" t="s">
        <v>495</v>
      </c>
      <c r="B2" s="621"/>
      <c r="C2" s="100"/>
      <c r="D2" s="100"/>
      <c r="E2" s="100"/>
      <c r="F2" s="100"/>
      <c r="G2" s="100"/>
      <c r="H2" s="100"/>
      <c r="I2" s="100"/>
      <c r="J2" s="100"/>
      <c r="K2" s="100"/>
      <c r="L2" s="100"/>
      <c r="M2" s="100"/>
    </row>
    <row r="3" spans="1:13" ht="18.600000000000001" customHeight="1">
      <c r="A3" s="389" t="s">
        <v>613</v>
      </c>
      <c r="B3" s="390"/>
      <c r="C3" s="100"/>
      <c r="D3" s="100"/>
      <c r="E3" s="100"/>
      <c r="F3" s="100"/>
      <c r="G3" s="100"/>
      <c r="H3" s="100"/>
      <c r="I3" s="100"/>
      <c r="J3" s="100"/>
      <c r="K3" s="100"/>
      <c r="L3" s="100"/>
      <c r="M3" s="100"/>
    </row>
    <row r="4" spans="1:13" ht="15.6">
      <c r="A4" s="391"/>
      <c r="B4" s="390"/>
      <c r="C4" s="100"/>
      <c r="D4" s="100"/>
      <c r="E4" s="100"/>
      <c r="F4" s="100"/>
      <c r="G4" s="100"/>
      <c r="H4" s="100"/>
      <c r="I4" s="100"/>
      <c r="J4" s="100"/>
      <c r="K4" s="100"/>
      <c r="L4" s="100"/>
      <c r="M4" s="100"/>
    </row>
    <row r="5" spans="1:13" ht="15.6">
      <c r="A5" s="400" t="s">
        <v>397</v>
      </c>
      <c r="B5" s="404" t="s">
        <v>309</v>
      </c>
    </row>
    <row r="6" spans="1:13" ht="45">
      <c r="A6" s="401" t="s">
        <v>398</v>
      </c>
      <c r="B6" s="392" t="s">
        <v>430</v>
      </c>
    </row>
    <row r="7" spans="1:13" ht="15">
      <c r="A7" s="402" t="s">
        <v>399</v>
      </c>
      <c r="B7" s="390" t="s">
        <v>400</v>
      </c>
    </row>
    <row r="8" spans="1:13" ht="15">
      <c r="A8" s="402" t="s">
        <v>401</v>
      </c>
      <c r="B8" s="390" t="s">
        <v>199</v>
      </c>
    </row>
    <row r="9" spans="1:13" ht="15">
      <c r="A9" s="402" t="s">
        <v>402</v>
      </c>
      <c r="B9" s="390" t="s">
        <v>400</v>
      </c>
    </row>
    <row r="10" spans="1:13" ht="15">
      <c r="A10" s="402" t="s">
        <v>403</v>
      </c>
      <c r="B10" s="390" t="s">
        <v>404</v>
      </c>
    </row>
    <row r="11" spans="1:13" ht="15">
      <c r="A11" s="402" t="s">
        <v>405</v>
      </c>
      <c r="B11" s="390" t="s">
        <v>406</v>
      </c>
    </row>
    <row r="12" spans="1:13" ht="15">
      <c r="A12" s="402" t="s">
        <v>407</v>
      </c>
      <c r="B12" s="390" t="s">
        <v>408</v>
      </c>
    </row>
    <row r="13" spans="1:13" ht="15">
      <c r="A13" s="402" t="s">
        <v>409</v>
      </c>
      <c r="B13" s="390" t="s">
        <v>410</v>
      </c>
    </row>
    <row r="14" spans="1:13" ht="15">
      <c r="A14" s="402" t="s">
        <v>411</v>
      </c>
      <c r="B14" s="390" t="s">
        <v>412</v>
      </c>
    </row>
    <row r="15" spans="1:13" ht="15">
      <c r="A15" s="402" t="s">
        <v>413</v>
      </c>
      <c r="B15" s="390" t="s">
        <v>414</v>
      </c>
    </row>
    <row r="16" spans="1:13" ht="15">
      <c r="A16" s="402" t="s">
        <v>415</v>
      </c>
      <c r="B16" s="390" t="s">
        <v>416</v>
      </c>
    </row>
    <row r="17" spans="1:2" ht="15">
      <c r="A17" s="402" t="s">
        <v>417</v>
      </c>
      <c r="B17" s="390" t="s">
        <v>216</v>
      </c>
    </row>
    <row r="18" spans="1:2" ht="15">
      <c r="A18" s="402" t="s">
        <v>418</v>
      </c>
      <c r="B18" s="390" t="s">
        <v>419</v>
      </c>
    </row>
    <row r="19" spans="1:2" ht="15">
      <c r="A19" s="402" t="s">
        <v>420</v>
      </c>
      <c r="B19" s="390" t="s">
        <v>421</v>
      </c>
    </row>
    <row r="20" spans="1:2" ht="15">
      <c r="A20" s="402" t="s">
        <v>422</v>
      </c>
      <c r="B20" s="390" t="s">
        <v>423</v>
      </c>
    </row>
    <row r="21" spans="1:2" ht="15">
      <c r="A21" s="403" t="s">
        <v>426</v>
      </c>
      <c r="B21" s="390" t="s">
        <v>428</v>
      </c>
    </row>
    <row r="22" spans="1:2" ht="15">
      <c r="A22" s="403" t="s">
        <v>427</v>
      </c>
      <c r="B22" s="390" t="s">
        <v>424</v>
      </c>
    </row>
    <row r="23" spans="1:2" ht="15">
      <c r="A23" s="403" t="s">
        <v>425</v>
      </c>
      <c r="B23" s="390" t="s">
        <v>429</v>
      </c>
    </row>
    <row r="24" spans="1:2" ht="15.6" thickBot="1">
      <c r="A24" s="393" t="s">
        <v>435</v>
      </c>
      <c r="B24" s="39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O7" sqref="O7"/>
    </sheetView>
  </sheetViews>
  <sheetFormatPr defaultRowHeight="13.2"/>
  <cols>
    <col min="1" max="1" width="58.33203125" style="329" bestFit="1" customWidth="1"/>
    <col min="2" max="2" width="17.6640625" style="329" bestFit="1" customWidth="1"/>
    <col min="3" max="7" width="11.88671875" style="319" hidden="1" customWidth="1"/>
    <col min="8" max="8" width="11.88671875" style="319" customWidth="1"/>
    <col min="9" max="9" width="13.44140625" style="319" hidden="1" customWidth="1"/>
    <col min="10" max="10" width="14.6640625" style="319" hidden="1" customWidth="1"/>
    <col min="11" max="11" width="11.88671875" style="319" hidden="1" customWidth="1"/>
    <col min="12" max="12" width="13" style="319" hidden="1" customWidth="1"/>
    <col min="13" max="13" width="12.6640625" style="319" hidden="1" customWidth="1"/>
    <col min="14" max="14" width="11.88671875" style="319" hidden="1" customWidth="1"/>
    <col min="15" max="15" width="16.109375" style="319" bestFit="1" customWidth="1"/>
    <col min="16" max="16" width="22.33203125" style="329" customWidth="1"/>
    <col min="17" max="17" width="22.33203125" style="330" customWidth="1"/>
    <col min="18" max="18" width="10.44140625" style="329" customWidth="1"/>
    <col min="19" max="250" width="8.88671875" style="329"/>
    <col min="251" max="251" width="57.33203125" style="329" bestFit="1" customWidth="1"/>
    <col min="252" max="252" width="10.6640625" style="329" bestFit="1" customWidth="1"/>
    <col min="253" max="263" width="9.109375" style="329" customWidth="1"/>
    <col min="264" max="264" width="14.88671875" style="329" bestFit="1" customWidth="1"/>
    <col min="265" max="273" width="9.109375" style="329" customWidth="1"/>
    <col min="274" max="274" width="10.44140625" style="329" customWidth="1"/>
    <col min="275" max="506" width="8.88671875" style="329"/>
    <col min="507" max="507" width="57.33203125" style="329" bestFit="1" customWidth="1"/>
    <col min="508" max="508" width="10.6640625" style="329" bestFit="1" customWidth="1"/>
    <col min="509" max="519" width="9.109375" style="329" customWidth="1"/>
    <col min="520" max="520" width="14.88671875" style="329" bestFit="1" customWidth="1"/>
    <col min="521" max="529" width="9.109375" style="329" customWidth="1"/>
    <col min="530" max="530" width="10.44140625" style="329" customWidth="1"/>
    <col min="531" max="762" width="8.88671875" style="329"/>
    <col min="763" max="763" width="57.33203125" style="329" bestFit="1" customWidth="1"/>
    <col min="764" max="764" width="10.6640625" style="329" bestFit="1" customWidth="1"/>
    <col min="765" max="775" width="9.109375" style="329" customWidth="1"/>
    <col min="776" max="776" width="14.88671875" style="329" bestFit="1" customWidth="1"/>
    <col min="777" max="785" width="9.109375" style="329" customWidth="1"/>
    <col min="786" max="786" width="10.44140625" style="329" customWidth="1"/>
    <col min="787" max="1018" width="8.88671875" style="329"/>
    <col min="1019" max="1019" width="57.33203125" style="329" bestFit="1" customWidth="1"/>
    <col min="1020" max="1020" width="10.6640625" style="329" bestFit="1" customWidth="1"/>
    <col min="1021" max="1031" width="9.109375" style="329" customWidth="1"/>
    <col min="1032" max="1032" width="14.88671875" style="329" bestFit="1" customWidth="1"/>
    <col min="1033" max="1041" width="9.109375" style="329" customWidth="1"/>
    <col min="1042" max="1042" width="10.44140625" style="329" customWidth="1"/>
    <col min="1043" max="1274" width="8.88671875" style="329"/>
    <col min="1275" max="1275" width="57.33203125" style="329" bestFit="1" customWidth="1"/>
    <col min="1276" max="1276" width="10.6640625" style="329" bestFit="1" customWidth="1"/>
    <col min="1277" max="1287" width="9.109375" style="329" customWidth="1"/>
    <col min="1288" max="1288" width="14.88671875" style="329" bestFit="1" customWidth="1"/>
    <col min="1289" max="1297" width="9.109375" style="329" customWidth="1"/>
    <col min="1298" max="1298" width="10.44140625" style="329" customWidth="1"/>
    <col min="1299" max="1530" width="8.88671875" style="329"/>
    <col min="1531" max="1531" width="57.33203125" style="329" bestFit="1" customWidth="1"/>
    <col min="1532" max="1532" width="10.6640625" style="329" bestFit="1" customWidth="1"/>
    <col min="1533" max="1543" width="9.109375" style="329" customWidth="1"/>
    <col min="1544" max="1544" width="14.88671875" style="329" bestFit="1" customWidth="1"/>
    <col min="1545" max="1553" width="9.109375" style="329" customWidth="1"/>
    <col min="1554" max="1554" width="10.44140625" style="329" customWidth="1"/>
    <col min="1555" max="1786" width="8.88671875" style="329"/>
    <col min="1787" max="1787" width="57.33203125" style="329" bestFit="1" customWidth="1"/>
    <col min="1788" max="1788" width="10.6640625" style="329" bestFit="1" customWidth="1"/>
    <col min="1789" max="1799" width="9.109375" style="329" customWidth="1"/>
    <col min="1800" max="1800" width="14.88671875" style="329" bestFit="1" customWidth="1"/>
    <col min="1801" max="1809" width="9.109375" style="329" customWidth="1"/>
    <col min="1810" max="1810" width="10.44140625" style="329" customWidth="1"/>
    <col min="1811" max="2042" width="8.88671875" style="329"/>
    <col min="2043" max="2043" width="57.33203125" style="329" bestFit="1" customWidth="1"/>
    <col min="2044" max="2044" width="10.6640625" style="329" bestFit="1" customWidth="1"/>
    <col min="2045" max="2055" width="9.109375" style="329" customWidth="1"/>
    <col min="2056" max="2056" width="14.88671875" style="329" bestFit="1" customWidth="1"/>
    <col min="2057" max="2065" width="9.109375" style="329" customWidth="1"/>
    <col min="2066" max="2066" width="10.44140625" style="329" customWidth="1"/>
    <col min="2067" max="2298" width="8.88671875" style="329"/>
    <col min="2299" max="2299" width="57.33203125" style="329" bestFit="1" customWidth="1"/>
    <col min="2300" max="2300" width="10.6640625" style="329" bestFit="1" customWidth="1"/>
    <col min="2301" max="2311" width="9.109375" style="329" customWidth="1"/>
    <col min="2312" max="2312" width="14.88671875" style="329" bestFit="1" customWidth="1"/>
    <col min="2313" max="2321" width="9.109375" style="329" customWidth="1"/>
    <col min="2322" max="2322" width="10.44140625" style="329" customWidth="1"/>
    <col min="2323" max="2554" width="8.88671875" style="329"/>
    <col min="2555" max="2555" width="57.33203125" style="329" bestFit="1" customWidth="1"/>
    <col min="2556" max="2556" width="10.6640625" style="329" bestFit="1" customWidth="1"/>
    <col min="2557" max="2567" width="9.109375" style="329" customWidth="1"/>
    <col min="2568" max="2568" width="14.88671875" style="329" bestFit="1" customWidth="1"/>
    <col min="2569" max="2577" width="9.109375" style="329" customWidth="1"/>
    <col min="2578" max="2578" width="10.44140625" style="329" customWidth="1"/>
    <col min="2579" max="2810" width="8.88671875" style="329"/>
    <col min="2811" max="2811" width="57.33203125" style="329" bestFit="1" customWidth="1"/>
    <col min="2812" max="2812" width="10.6640625" style="329" bestFit="1" customWidth="1"/>
    <col min="2813" max="2823" width="9.109375" style="329" customWidth="1"/>
    <col min="2824" max="2824" width="14.88671875" style="329" bestFit="1" customWidth="1"/>
    <col min="2825" max="2833" width="9.109375" style="329" customWidth="1"/>
    <col min="2834" max="2834" width="10.44140625" style="329" customWidth="1"/>
    <col min="2835" max="3066" width="8.88671875" style="329"/>
    <col min="3067" max="3067" width="57.33203125" style="329" bestFit="1" customWidth="1"/>
    <col min="3068" max="3068" width="10.6640625" style="329" bestFit="1" customWidth="1"/>
    <col min="3069" max="3079" width="9.109375" style="329" customWidth="1"/>
    <col min="3080" max="3080" width="14.88671875" style="329" bestFit="1" customWidth="1"/>
    <col min="3081" max="3089" width="9.109375" style="329" customWidth="1"/>
    <col min="3090" max="3090" width="10.44140625" style="329" customWidth="1"/>
    <col min="3091" max="3322" width="8.88671875" style="329"/>
    <col min="3323" max="3323" width="57.33203125" style="329" bestFit="1" customWidth="1"/>
    <col min="3324" max="3324" width="10.6640625" style="329" bestFit="1" customWidth="1"/>
    <col min="3325" max="3335" width="9.109375" style="329" customWidth="1"/>
    <col min="3336" max="3336" width="14.88671875" style="329" bestFit="1" customWidth="1"/>
    <col min="3337" max="3345" width="9.109375" style="329" customWidth="1"/>
    <col min="3346" max="3346" width="10.44140625" style="329" customWidth="1"/>
    <col min="3347" max="3578" width="8.88671875" style="329"/>
    <col min="3579" max="3579" width="57.33203125" style="329" bestFit="1" customWidth="1"/>
    <col min="3580" max="3580" width="10.6640625" style="329" bestFit="1" customWidth="1"/>
    <col min="3581" max="3591" width="9.109375" style="329" customWidth="1"/>
    <col min="3592" max="3592" width="14.88671875" style="329" bestFit="1" customWidth="1"/>
    <col min="3593" max="3601" width="9.109375" style="329" customWidth="1"/>
    <col min="3602" max="3602" width="10.44140625" style="329" customWidth="1"/>
    <col min="3603" max="3834" width="8.88671875" style="329"/>
    <col min="3835" max="3835" width="57.33203125" style="329" bestFit="1" customWidth="1"/>
    <col min="3836" max="3836" width="10.6640625" style="329" bestFit="1" customWidth="1"/>
    <col min="3837" max="3847" width="9.109375" style="329" customWidth="1"/>
    <col min="3848" max="3848" width="14.88671875" style="329" bestFit="1" customWidth="1"/>
    <col min="3849" max="3857" width="9.109375" style="329" customWidth="1"/>
    <col min="3858" max="3858" width="10.44140625" style="329" customWidth="1"/>
    <col min="3859" max="4090" width="8.88671875" style="329"/>
    <col min="4091" max="4091" width="57.33203125" style="329" bestFit="1" customWidth="1"/>
    <col min="4092" max="4092" width="10.6640625" style="329" bestFit="1" customWidth="1"/>
    <col min="4093" max="4103" width="9.109375" style="329" customWidth="1"/>
    <col min="4104" max="4104" width="14.88671875" style="329" bestFit="1" customWidth="1"/>
    <col min="4105" max="4113" width="9.109375" style="329" customWidth="1"/>
    <col min="4114" max="4114" width="10.44140625" style="329" customWidth="1"/>
    <col min="4115" max="4346" width="8.88671875" style="329"/>
    <col min="4347" max="4347" width="57.33203125" style="329" bestFit="1" customWidth="1"/>
    <col min="4348" max="4348" width="10.6640625" style="329" bestFit="1" customWidth="1"/>
    <col min="4349" max="4359" width="9.109375" style="329" customWidth="1"/>
    <col min="4360" max="4360" width="14.88671875" style="329" bestFit="1" customWidth="1"/>
    <col min="4361" max="4369" width="9.109375" style="329" customWidth="1"/>
    <col min="4370" max="4370" width="10.44140625" style="329" customWidth="1"/>
    <col min="4371" max="4602" width="8.88671875" style="329"/>
    <col min="4603" max="4603" width="57.33203125" style="329" bestFit="1" customWidth="1"/>
    <col min="4604" max="4604" width="10.6640625" style="329" bestFit="1" customWidth="1"/>
    <col min="4605" max="4615" width="9.109375" style="329" customWidth="1"/>
    <col min="4616" max="4616" width="14.88671875" style="329" bestFit="1" customWidth="1"/>
    <col min="4617" max="4625" width="9.109375" style="329" customWidth="1"/>
    <col min="4626" max="4626" width="10.44140625" style="329" customWidth="1"/>
    <col min="4627" max="4858" width="8.88671875" style="329"/>
    <col min="4859" max="4859" width="57.33203125" style="329" bestFit="1" customWidth="1"/>
    <col min="4860" max="4860" width="10.6640625" style="329" bestFit="1" customWidth="1"/>
    <col min="4861" max="4871" width="9.109375" style="329" customWidth="1"/>
    <col min="4872" max="4872" width="14.88671875" style="329" bestFit="1" customWidth="1"/>
    <col min="4873" max="4881" width="9.109375" style="329" customWidth="1"/>
    <col min="4882" max="4882" width="10.44140625" style="329" customWidth="1"/>
    <col min="4883" max="5114" width="8.88671875" style="329"/>
    <col min="5115" max="5115" width="57.33203125" style="329" bestFit="1" customWidth="1"/>
    <col min="5116" max="5116" width="10.6640625" style="329" bestFit="1" customWidth="1"/>
    <col min="5117" max="5127" width="9.109375" style="329" customWidth="1"/>
    <col min="5128" max="5128" width="14.88671875" style="329" bestFit="1" customWidth="1"/>
    <col min="5129" max="5137" width="9.109375" style="329" customWidth="1"/>
    <col min="5138" max="5138" width="10.44140625" style="329" customWidth="1"/>
    <col min="5139" max="5370" width="8.88671875" style="329"/>
    <col min="5371" max="5371" width="57.33203125" style="329" bestFit="1" customWidth="1"/>
    <col min="5372" max="5372" width="10.6640625" style="329" bestFit="1" customWidth="1"/>
    <col min="5373" max="5383" width="9.109375" style="329" customWidth="1"/>
    <col min="5384" max="5384" width="14.88671875" style="329" bestFit="1" customWidth="1"/>
    <col min="5385" max="5393" width="9.109375" style="329" customWidth="1"/>
    <col min="5394" max="5394" width="10.44140625" style="329" customWidth="1"/>
    <col min="5395" max="5626" width="8.88671875" style="329"/>
    <col min="5627" max="5627" width="57.33203125" style="329" bestFit="1" customWidth="1"/>
    <col min="5628" max="5628" width="10.6640625" style="329" bestFit="1" customWidth="1"/>
    <col min="5629" max="5639" width="9.109375" style="329" customWidth="1"/>
    <col min="5640" max="5640" width="14.88671875" style="329" bestFit="1" customWidth="1"/>
    <col min="5641" max="5649" width="9.109375" style="329" customWidth="1"/>
    <col min="5650" max="5650" width="10.44140625" style="329" customWidth="1"/>
    <col min="5651" max="5882" width="8.88671875" style="329"/>
    <col min="5883" max="5883" width="57.33203125" style="329" bestFit="1" customWidth="1"/>
    <col min="5884" max="5884" width="10.6640625" style="329" bestFit="1" customWidth="1"/>
    <col min="5885" max="5895" width="9.109375" style="329" customWidth="1"/>
    <col min="5896" max="5896" width="14.88671875" style="329" bestFit="1" customWidth="1"/>
    <col min="5897" max="5905" width="9.109375" style="329" customWidth="1"/>
    <col min="5906" max="5906" width="10.44140625" style="329" customWidth="1"/>
    <col min="5907" max="6138" width="8.88671875" style="329"/>
    <col min="6139" max="6139" width="57.33203125" style="329" bestFit="1" customWidth="1"/>
    <col min="6140" max="6140" width="10.6640625" style="329" bestFit="1" customWidth="1"/>
    <col min="6141" max="6151" width="9.109375" style="329" customWidth="1"/>
    <col min="6152" max="6152" width="14.88671875" style="329" bestFit="1" customWidth="1"/>
    <col min="6153" max="6161" width="9.109375" style="329" customWidth="1"/>
    <col min="6162" max="6162" width="10.44140625" style="329" customWidth="1"/>
    <col min="6163" max="6394" width="8.88671875" style="329"/>
    <col min="6395" max="6395" width="57.33203125" style="329" bestFit="1" customWidth="1"/>
    <col min="6396" max="6396" width="10.6640625" style="329" bestFit="1" customWidth="1"/>
    <col min="6397" max="6407" width="9.109375" style="329" customWidth="1"/>
    <col min="6408" max="6408" width="14.88671875" style="329" bestFit="1" customWidth="1"/>
    <col min="6409" max="6417" width="9.109375" style="329" customWidth="1"/>
    <col min="6418" max="6418" width="10.44140625" style="329" customWidth="1"/>
    <col min="6419" max="6650" width="8.88671875" style="329"/>
    <col min="6651" max="6651" width="57.33203125" style="329" bestFit="1" customWidth="1"/>
    <col min="6652" max="6652" width="10.6640625" style="329" bestFit="1" customWidth="1"/>
    <col min="6653" max="6663" width="9.109375" style="329" customWidth="1"/>
    <col min="6664" max="6664" width="14.88671875" style="329" bestFit="1" customWidth="1"/>
    <col min="6665" max="6673" width="9.109375" style="329" customWidth="1"/>
    <col min="6674" max="6674" width="10.44140625" style="329" customWidth="1"/>
    <col min="6675" max="6906" width="8.88671875" style="329"/>
    <col min="6907" max="6907" width="57.33203125" style="329" bestFit="1" customWidth="1"/>
    <col min="6908" max="6908" width="10.6640625" style="329" bestFit="1" customWidth="1"/>
    <col min="6909" max="6919" width="9.109375" style="329" customWidth="1"/>
    <col min="6920" max="6920" width="14.88671875" style="329" bestFit="1" customWidth="1"/>
    <col min="6921" max="6929" width="9.109375" style="329" customWidth="1"/>
    <col min="6930" max="6930" width="10.44140625" style="329" customWidth="1"/>
    <col min="6931" max="7162" width="8.88671875" style="329"/>
    <col min="7163" max="7163" width="57.33203125" style="329" bestFit="1" customWidth="1"/>
    <col min="7164" max="7164" width="10.6640625" style="329" bestFit="1" customWidth="1"/>
    <col min="7165" max="7175" width="9.109375" style="329" customWidth="1"/>
    <col min="7176" max="7176" width="14.88671875" style="329" bestFit="1" customWidth="1"/>
    <col min="7177" max="7185" width="9.109375" style="329" customWidth="1"/>
    <col min="7186" max="7186" width="10.44140625" style="329" customWidth="1"/>
    <col min="7187" max="7418" width="8.88671875" style="329"/>
    <col min="7419" max="7419" width="57.33203125" style="329" bestFit="1" customWidth="1"/>
    <col min="7420" max="7420" width="10.6640625" style="329" bestFit="1" customWidth="1"/>
    <col min="7421" max="7431" width="9.109375" style="329" customWidth="1"/>
    <col min="7432" max="7432" width="14.88671875" style="329" bestFit="1" customWidth="1"/>
    <col min="7433" max="7441" width="9.109375" style="329" customWidth="1"/>
    <col min="7442" max="7442" width="10.44140625" style="329" customWidth="1"/>
    <col min="7443" max="7674" width="8.88671875" style="329"/>
    <col min="7675" max="7675" width="57.33203125" style="329" bestFit="1" customWidth="1"/>
    <col min="7676" max="7676" width="10.6640625" style="329" bestFit="1" customWidth="1"/>
    <col min="7677" max="7687" width="9.109375" style="329" customWidth="1"/>
    <col min="7688" max="7688" width="14.88671875" style="329" bestFit="1" customWidth="1"/>
    <col min="7689" max="7697" width="9.109375" style="329" customWidth="1"/>
    <col min="7698" max="7698" width="10.44140625" style="329" customWidth="1"/>
    <col min="7699" max="7930" width="8.88671875" style="329"/>
    <col min="7931" max="7931" width="57.33203125" style="329" bestFit="1" customWidth="1"/>
    <col min="7932" max="7932" width="10.6640625" style="329" bestFit="1" customWidth="1"/>
    <col min="7933" max="7943" width="9.109375" style="329" customWidth="1"/>
    <col min="7944" max="7944" width="14.88671875" style="329" bestFit="1" customWidth="1"/>
    <col min="7945" max="7953" width="9.109375" style="329" customWidth="1"/>
    <col min="7954" max="7954" width="10.44140625" style="329" customWidth="1"/>
    <col min="7955" max="8186" width="8.88671875" style="329"/>
    <col min="8187" max="8187" width="57.33203125" style="329" bestFit="1" customWidth="1"/>
    <col min="8188" max="8188" width="10.6640625" style="329" bestFit="1" customWidth="1"/>
    <col min="8189" max="8199" width="9.109375" style="329" customWidth="1"/>
    <col min="8200" max="8200" width="14.88671875" style="329" bestFit="1" customWidth="1"/>
    <col min="8201" max="8209" width="9.109375" style="329" customWidth="1"/>
    <col min="8210" max="8210" width="10.44140625" style="329" customWidth="1"/>
    <col min="8211" max="8442" width="8.88671875" style="329"/>
    <col min="8443" max="8443" width="57.33203125" style="329" bestFit="1" customWidth="1"/>
    <col min="8444" max="8444" width="10.6640625" style="329" bestFit="1" customWidth="1"/>
    <col min="8445" max="8455" width="9.109375" style="329" customWidth="1"/>
    <col min="8456" max="8456" width="14.88671875" style="329" bestFit="1" customWidth="1"/>
    <col min="8457" max="8465" width="9.109375" style="329" customWidth="1"/>
    <col min="8466" max="8466" width="10.44140625" style="329" customWidth="1"/>
    <col min="8467" max="8698" width="8.88671875" style="329"/>
    <col min="8699" max="8699" width="57.33203125" style="329" bestFit="1" customWidth="1"/>
    <col min="8700" max="8700" width="10.6640625" style="329" bestFit="1" customWidth="1"/>
    <col min="8701" max="8711" width="9.109375" style="329" customWidth="1"/>
    <col min="8712" max="8712" width="14.88671875" style="329" bestFit="1" customWidth="1"/>
    <col min="8713" max="8721" width="9.109375" style="329" customWidth="1"/>
    <col min="8722" max="8722" width="10.44140625" style="329" customWidth="1"/>
    <col min="8723" max="8954" width="8.88671875" style="329"/>
    <col min="8955" max="8955" width="57.33203125" style="329" bestFit="1" customWidth="1"/>
    <col min="8956" max="8956" width="10.6640625" style="329" bestFit="1" customWidth="1"/>
    <col min="8957" max="8967" width="9.109375" style="329" customWidth="1"/>
    <col min="8968" max="8968" width="14.88671875" style="329" bestFit="1" customWidth="1"/>
    <col min="8969" max="8977" width="9.109375" style="329" customWidth="1"/>
    <col min="8978" max="8978" width="10.44140625" style="329" customWidth="1"/>
    <col min="8979" max="9210" width="8.88671875" style="329"/>
    <col min="9211" max="9211" width="57.33203125" style="329" bestFit="1" customWidth="1"/>
    <col min="9212" max="9212" width="10.6640625" style="329" bestFit="1" customWidth="1"/>
    <col min="9213" max="9223" width="9.109375" style="329" customWidth="1"/>
    <col min="9224" max="9224" width="14.88671875" style="329" bestFit="1" customWidth="1"/>
    <col min="9225" max="9233" width="9.109375" style="329" customWidth="1"/>
    <col min="9234" max="9234" width="10.44140625" style="329" customWidth="1"/>
    <col min="9235" max="9466" width="8.88671875" style="329"/>
    <col min="9467" max="9467" width="57.33203125" style="329" bestFit="1" customWidth="1"/>
    <col min="9468" max="9468" width="10.6640625" style="329" bestFit="1" customWidth="1"/>
    <col min="9469" max="9479" width="9.109375" style="329" customWidth="1"/>
    <col min="9480" max="9480" width="14.88671875" style="329" bestFit="1" customWidth="1"/>
    <col min="9481" max="9489" width="9.109375" style="329" customWidth="1"/>
    <col min="9490" max="9490" width="10.44140625" style="329" customWidth="1"/>
    <col min="9491" max="9722" width="8.88671875" style="329"/>
    <col min="9723" max="9723" width="57.33203125" style="329" bestFit="1" customWidth="1"/>
    <col min="9724" max="9724" width="10.6640625" style="329" bestFit="1" customWidth="1"/>
    <col min="9725" max="9735" width="9.109375" style="329" customWidth="1"/>
    <col min="9736" max="9736" width="14.88671875" style="329" bestFit="1" customWidth="1"/>
    <col min="9737" max="9745" width="9.109375" style="329" customWidth="1"/>
    <col min="9746" max="9746" width="10.44140625" style="329" customWidth="1"/>
    <col min="9747" max="9978" width="8.88671875" style="329"/>
    <col min="9979" max="9979" width="57.33203125" style="329" bestFit="1" customWidth="1"/>
    <col min="9980" max="9980" width="10.6640625" style="329" bestFit="1" customWidth="1"/>
    <col min="9981" max="9991" width="9.109375" style="329" customWidth="1"/>
    <col min="9992" max="9992" width="14.88671875" style="329" bestFit="1" customWidth="1"/>
    <col min="9993" max="10001" width="9.109375" style="329" customWidth="1"/>
    <col min="10002" max="10002" width="10.44140625" style="329" customWidth="1"/>
    <col min="10003" max="10234" width="8.88671875" style="329"/>
    <col min="10235" max="10235" width="57.33203125" style="329" bestFit="1" customWidth="1"/>
    <col min="10236" max="10236" width="10.6640625" style="329" bestFit="1" customWidth="1"/>
    <col min="10237" max="10247" width="9.109375" style="329" customWidth="1"/>
    <col min="10248" max="10248" width="14.88671875" style="329" bestFit="1" customWidth="1"/>
    <col min="10249" max="10257" width="9.109375" style="329" customWidth="1"/>
    <col min="10258" max="10258" width="10.44140625" style="329" customWidth="1"/>
    <col min="10259" max="10490" width="8.88671875" style="329"/>
    <col min="10491" max="10491" width="57.33203125" style="329" bestFit="1" customWidth="1"/>
    <col min="10492" max="10492" width="10.6640625" style="329" bestFit="1" customWidth="1"/>
    <col min="10493" max="10503" width="9.109375" style="329" customWidth="1"/>
    <col min="10504" max="10504" width="14.88671875" style="329" bestFit="1" customWidth="1"/>
    <col min="10505" max="10513" width="9.109375" style="329" customWidth="1"/>
    <col min="10514" max="10514" width="10.44140625" style="329" customWidth="1"/>
    <col min="10515" max="10746" width="8.88671875" style="329"/>
    <col min="10747" max="10747" width="57.33203125" style="329" bestFit="1" customWidth="1"/>
    <col min="10748" max="10748" width="10.6640625" style="329" bestFit="1" customWidth="1"/>
    <col min="10749" max="10759" width="9.109375" style="329" customWidth="1"/>
    <col min="10760" max="10760" width="14.88671875" style="329" bestFit="1" customWidth="1"/>
    <col min="10761" max="10769" width="9.109375" style="329" customWidth="1"/>
    <col min="10770" max="10770" width="10.44140625" style="329" customWidth="1"/>
    <col min="10771" max="11002" width="8.88671875" style="329"/>
    <col min="11003" max="11003" width="57.33203125" style="329" bestFit="1" customWidth="1"/>
    <col min="11004" max="11004" width="10.6640625" style="329" bestFit="1" customWidth="1"/>
    <col min="11005" max="11015" width="9.109375" style="329" customWidth="1"/>
    <col min="11016" max="11016" width="14.88671875" style="329" bestFit="1" customWidth="1"/>
    <col min="11017" max="11025" width="9.109375" style="329" customWidth="1"/>
    <col min="11026" max="11026" width="10.44140625" style="329" customWidth="1"/>
    <col min="11027" max="11258" width="8.88671875" style="329"/>
    <col min="11259" max="11259" width="57.33203125" style="329" bestFit="1" customWidth="1"/>
    <col min="11260" max="11260" width="10.6640625" style="329" bestFit="1" customWidth="1"/>
    <col min="11261" max="11271" width="9.109375" style="329" customWidth="1"/>
    <col min="11272" max="11272" width="14.88671875" style="329" bestFit="1" customWidth="1"/>
    <col min="11273" max="11281" width="9.109375" style="329" customWidth="1"/>
    <col min="11282" max="11282" width="10.44140625" style="329" customWidth="1"/>
    <col min="11283" max="11514" width="8.88671875" style="329"/>
    <col min="11515" max="11515" width="57.33203125" style="329" bestFit="1" customWidth="1"/>
    <col min="11516" max="11516" width="10.6640625" style="329" bestFit="1" customWidth="1"/>
    <col min="11517" max="11527" width="9.109375" style="329" customWidth="1"/>
    <col min="11528" max="11528" width="14.88671875" style="329" bestFit="1" customWidth="1"/>
    <col min="11529" max="11537" width="9.109375" style="329" customWidth="1"/>
    <col min="11538" max="11538" width="10.44140625" style="329" customWidth="1"/>
    <col min="11539" max="11770" width="8.88671875" style="329"/>
    <col min="11771" max="11771" width="57.33203125" style="329" bestFit="1" customWidth="1"/>
    <col min="11772" max="11772" width="10.6640625" style="329" bestFit="1" customWidth="1"/>
    <col min="11773" max="11783" width="9.109375" style="329" customWidth="1"/>
    <col min="11784" max="11784" width="14.88671875" style="329" bestFit="1" customWidth="1"/>
    <col min="11785" max="11793" width="9.109375" style="329" customWidth="1"/>
    <col min="11794" max="11794" width="10.44140625" style="329" customWidth="1"/>
    <col min="11795" max="12026" width="8.88671875" style="329"/>
    <col min="12027" max="12027" width="57.33203125" style="329" bestFit="1" customWidth="1"/>
    <col min="12028" max="12028" width="10.6640625" style="329" bestFit="1" customWidth="1"/>
    <col min="12029" max="12039" width="9.109375" style="329" customWidth="1"/>
    <col min="12040" max="12040" width="14.88671875" style="329" bestFit="1" customWidth="1"/>
    <col min="12041" max="12049" width="9.109375" style="329" customWidth="1"/>
    <col min="12050" max="12050" width="10.44140625" style="329" customWidth="1"/>
    <col min="12051" max="12282" width="8.88671875" style="329"/>
    <col min="12283" max="12283" width="57.33203125" style="329" bestFit="1" customWidth="1"/>
    <col min="12284" max="12284" width="10.6640625" style="329" bestFit="1" customWidth="1"/>
    <col min="12285" max="12295" width="9.109375" style="329" customWidth="1"/>
    <col min="12296" max="12296" width="14.88671875" style="329" bestFit="1" customWidth="1"/>
    <col min="12297" max="12305" width="9.109375" style="329" customWidth="1"/>
    <col min="12306" max="12306" width="10.44140625" style="329" customWidth="1"/>
    <col min="12307" max="12538" width="8.88671875" style="329"/>
    <col min="12539" max="12539" width="57.33203125" style="329" bestFit="1" customWidth="1"/>
    <col min="12540" max="12540" width="10.6640625" style="329" bestFit="1" customWidth="1"/>
    <col min="12541" max="12551" width="9.109375" style="329" customWidth="1"/>
    <col min="12552" max="12552" width="14.88671875" style="329" bestFit="1" customWidth="1"/>
    <col min="12553" max="12561" width="9.109375" style="329" customWidth="1"/>
    <col min="12562" max="12562" width="10.44140625" style="329" customWidth="1"/>
    <col min="12563" max="12794" width="8.88671875" style="329"/>
    <col min="12795" max="12795" width="57.33203125" style="329" bestFit="1" customWidth="1"/>
    <col min="12796" max="12796" width="10.6640625" style="329" bestFit="1" customWidth="1"/>
    <col min="12797" max="12807" width="9.109375" style="329" customWidth="1"/>
    <col min="12808" max="12808" width="14.88671875" style="329" bestFit="1" customWidth="1"/>
    <col min="12809" max="12817" width="9.109375" style="329" customWidth="1"/>
    <col min="12818" max="12818" width="10.44140625" style="329" customWidth="1"/>
    <col min="12819" max="13050" width="8.88671875" style="329"/>
    <col min="13051" max="13051" width="57.33203125" style="329" bestFit="1" customWidth="1"/>
    <col min="13052" max="13052" width="10.6640625" style="329" bestFit="1" customWidth="1"/>
    <col min="13053" max="13063" width="9.109375" style="329" customWidth="1"/>
    <col min="13064" max="13064" width="14.88671875" style="329" bestFit="1" customWidth="1"/>
    <col min="13065" max="13073" width="9.109375" style="329" customWidth="1"/>
    <col min="13074" max="13074" width="10.44140625" style="329" customWidth="1"/>
    <col min="13075" max="13306" width="8.88671875" style="329"/>
    <col min="13307" max="13307" width="57.33203125" style="329" bestFit="1" customWidth="1"/>
    <col min="13308" max="13308" width="10.6640625" style="329" bestFit="1" customWidth="1"/>
    <col min="13309" max="13319" width="9.109375" style="329" customWidth="1"/>
    <col min="13320" max="13320" width="14.88671875" style="329" bestFit="1" customWidth="1"/>
    <col min="13321" max="13329" width="9.109375" style="329" customWidth="1"/>
    <col min="13330" max="13330" width="10.44140625" style="329" customWidth="1"/>
    <col min="13331" max="13562" width="8.88671875" style="329"/>
    <col min="13563" max="13563" width="57.33203125" style="329" bestFit="1" customWidth="1"/>
    <col min="13564" max="13564" width="10.6640625" style="329" bestFit="1" customWidth="1"/>
    <col min="13565" max="13575" width="9.109375" style="329" customWidth="1"/>
    <col min="13576" max="13576" width="14.88671875" style="329" bestFit="1" customWidth="1"/>
    <col min="13577" max="13585" width="9.109375" style="329" customWidth="1"/>
    <col min="13586" max="13586" width="10.44140625" style="329" customWidth="1"/>
    <col min="13587" max="13818" width="8.88671875" style="329"/>
    <col min="13819" max="13819" width="57.33203125" style="329" bestFit="1" customWidth="1"/>
    <col min="13820" max="13820" width="10.6640625" style="329" bestFit="1" customWidth="1"/>
    <col min="13821" max="13831" width="9.109375" style="329" customWidth="1"/>
    <col min="13832" max="13832" width="14.88671875" style="329" bestFit="1" customWidth="1"/>
    <col min="13833" max="13841" width="9.109375" style="329" customWidth="1"/>
    <col min="13842" max="13842" width="10.44140625" style="329" customWidth="1"/>
    <col min="13843" max="14074" width="8.88671875" style="329"/>
    <col min="14075" max="14075" width="57.33203125" style="329" bestFit="1" customWidth="1"/>
    <col min="14076" max="14076" width="10.6640625" style="329" bestFit="1" customWidth="1"/>
    <col min="14077" max="14087" width="9.109375" style="329" customWidth="1"/>
    <col min="14088" max="14088" width="14.88671875" style="329" bestFit="1" customWidth="1"/>
    <col min="14089" max="14097" width="9.109375" style="329" customWidth="1"/>
    <col min="14098" max="14098" width="10.44140625" style="329" customWidth="1"/>
    <col min="14099" max="14330" width="8.88671875" style="329"/>
    <col min="14331" max="14331" width="57.33203125" style="329" bestFit="1" customWidth="1"/>
    <col min="14332" max="14332" width="10.6640625" style="329" bestFit="1" customWidth="1"/>
    <col min="14333" max="14343" width="9.109375" style="329" customWidth="1"/>
    <col min="14344" max="14344" width="14.88671875" style="329" bestFit="1" customWidth="1"/>
    <col min="14345" max="14353" width="9.109375" style="329" customWidth="1"/>
    <col min="14354" max="14354" width="10.44140625" style="329" customWidth="1"/>
    <col min="14355" max="14586" width="8.88671875" style="329"/>
    <col min="14587" max="14587" width="57.33203125" style="329" bestFit="1" customWidth="1"/>
    <col min="14588" max="14588" width="10.6640625" style="329" bestFit="1" customWidth="1"/>
    <col min="14589" max="14599" width="9.109375" style="329" customWidth="1"/>
    <col min="14600" max="14600" width="14.88671875" style="329" bestFit="1" customWidth="1"/>
    <col min="14601" max="14609" width="9.109375" style="329" customWidth="1"/>
    <col min="14610" max="14610" width="10.44140625" style="329" customWidth="1"/>
    <col min="14611" max="14842" width="8.88671875" style="329"/>
    <col min="14843" max="14843" width="57.33203125" style="329" bestFit="1" customWidth="1"/>
    <col min="14844" max="14844" width="10.6640625" style="329" bestFit="1" customWidth="1"/>
    <col min="14845" max="14855" width="9.109375" style="329" customWidth="1"/>
    <col min="14856" max="14856" width="14.88671875" style="329" bestFit="1" customWidth="1"/>
    <col min="14857" max="14865" width="9.109375" style="329" customWidth="1"/>
    <col min="14866" max="14866" width="10.44140625" style="329" customWidth="1"/>
    <col min="14867" max="15098" width="8.88671875" style="329"/>
    <col min="15099" max="15099" width="57.33203125" style="329" bestFit="1" customWidth="1"/>
    <col min="15100" max="15100" width="10.6640625" style="329" bestFit="1" customWidth="1"/>
    <col min="15101" max="15111" width="9.109375" style="329" customWidth="1"/>
    <col min="15112" max="15112" width="14.88671875" style="329" bestFit="1" customWidth="1"/>
    <col min="15113" max="15121" width="9.109375" style="329" customWidth="1"/>
    <col min="15122" max="15122" width="10.44140625" style="329" customWidth="1"/>
    <col min="15123" max="15354" width="8.88671875" style="329"/>
    <col min="15355" max="15355" width="57.33203125" style="329" bestFit="1" customWidth="1"/>
    <col min="15356" max="15356" width="10.6640625" style="329" bestFit="1" customWidth="1"/>
    <col min="15357" max="15367" width="9.109375" style="329" customWidth="1"/>
    <col min="15368" max="15368" width="14.88671875" style="329" bestFit="1" customWidth="1"/>
    <col min="15369" max="15377" width="9.109375" style="329" customWidth="1"/>
    <col min="15378" max="15378" width="10.44140625" style="329" customWidth="1"/>
    <col min="15379" max="15610" width="8.88671875" style="329"/>
    <col min="15611" max="15611" width="57.33203125" style="329" bestFit="1" customWidth="1"/>
    <col min="15612" max="15612" width="10.6640625" style="329" bestFit="1" customWidth="1"/>
    <col min="15613" max="15623" width="9.109375" style="329" customWidth="1"/>
    <col min="15624" max="15624" width="14.88671875" style="329" bestFit="1" customWidth="1"/>
    <col min="15625" max="15633" width="9.109375" style="329" customWidth="1"/>
    <col min="15634" max="15634" width="10.44140625" style="329" customWidth="1"/>
    <col min="15635" max="15866" width="8.88671875" style="329"/>
    <col min="15867" max="15867" width="57.33203125" style="329" bestFit="1" customWidth="1"/>
    <col min="15868" max="15868" width="10.6640625" style="329" bestFit="1" customWidth="1"/>
    <col min="15869" max="15879" width="9.109375" style="329" customWidth="1"/>
    <col min="15880" max="15880" width="14.88671875" style="329" bestFit="1" customWidth="1"/>
    <col min="15881" max="15889" width="9.109375" style="329" customWidth="1"/>
    <col min="15890" max="15890" width="10.44140625" style="329" customWidth="1"/>
    <col min="15891" max="16122" width="8.88671875" style="329"/>
    <col min="16123" max="16123" width="57.33203125" style="329" bestFit="1" customWidth="1"/>
    <col min="16124" max="16124" width="10.6640625" style="329" bestFit="1" customWidth="1"/>
    <col min="16125" max="16135" width="9.109375" style="329" customWidth="1"/>
    <col min="16136" max="16136" width="14.88671875" style="329" bestFit="1" customWidth="1"/>
    <col min="16137" max="16145" width="9.109375" style="329" customWidth="1"/>
    <col min="16146" max="16146" width="10.44140625" style="329" customWidth="1"/>
    <col min="16147" max="16378" width="8.88671875" style="329"/>
    <col min="16379" max="16384" width="12.6640625" style="329" customWidth="1"/>
  </cols>
  <sheetData>
    <row r="1" spans="1:17" s="323" customFormat="1" ht="16.2">
      <c r="A1" s="642" t="s">
        <v>209</v>
      </c>
      <c r="B1" s="642"/>
      <c r="C1" s="643"/>
      <c r="D1" s="643"/>
      <c r="E1" s="643"/>
      <c r="F1" s="643"/>
      <c r="G1" s="643"/>
      <c r="H1" s="643"/>
      <c r="I1" s="643"/>
      <c r="J1" s="643"/>
      <c r="K1" s="643"/>
      <c r="L1" s="643"/>
      <c r="M1" s="643"/>
      <c r="N1" s="643"/>
      <c r="O1" s="643"/>
      <c r="Q1" s="324"/>
    </row>
    <row r="2" spans="1:17" s="323" customFormat="1" ht="15.6">
      <c r="A2" s="644" t="s">
        <v>211</v>
      </c>
      <c r="B2" s="644"/>
      <c r="C2" s="645"/>
      <c r="D2" s="645"/>
      <c r="E2" s="645"/>
      <c r="F2" s="645"/>
      <c r="G2" s="645"/>
      <c r="H2" s="645"/>
      <c r="I2" s="645"/>
      <c r="J2" s="645"/>
      <c r="K2" s="645"/>
      <c r="L2" s="645"/>
      <c r="M2" s="645"/>
      <c r="N2" s="645"/>
      <c r="O2" s="645"/>
      <c r="Q2" s="324"/>
    </row>
    <row r="3" spans="1:17" s="323" customFormat="1" ht="15.6">
      <c r="A3" s="646" t="s">
        <v>614</v>
      </c>
      <c r="B3" s="646"/>
      <c r="C3" s="647"/>
      <c r="D3" s="647"/>
      <c r="E3" s="647"/>
      <c r="F3" s="647"/>
      <c r="G3" s="647"/>
      <c r="H3" s="647"/>
      <c r="I3" s="647"/>
      <c r="J3" s="647"/>
      <c r="K3" s="647"/>
      <c r="L3" s="647"/>
      <c r="M3" s="647"/>
      <c r="N3" s="647"/>
      <c r="O3" s="647"/>
      <c r="Q3" s="324"/>
    </row>
    <row r="4" spans="1:17" s="323" customFormat="1">
      <c r="A4" s="325"/>
      <c r="B4" s="325"/>
      <c r="C4" s="321"/>
      <c r="D4" s="321"/>
      <c r="E4" s="321"/>
      <c r="F4" s="321"/>
      <c r="G4" s="321"/>
      <c r="H4" s="321"/>
      <c r="I4" s="321"/>
      <c r="J4" s="321"/>
      <c r="K4" s="321"/>
      <c r="L4" s="321"/>
      <c r="M4" s="321"/>
      <c r="N4" s="321"/>
      <c r="O4" s="318"/>
      <c r="Q4" s="324"/>
    </row>
    <row r="5" spans="1:17">
      <c r="A5" s="327"/>
      <c r="B5" s="327"/>
      <c r="C5" s="321"/>
      <c r="D5" s="321"/>
      <c r="E5" s="321"/>
      <c r="F5" s="321"/>
      <c r="G5" s="321"/>
      <c r="H5" s="321"/>
      <c r="I5" s="321"/>
      <c r="J5" s="321"/>
      <c r="K5" s="321"/>
      <c r="L5" s="321"/>
      <c r="M5" s="321"/>
      <c r="N5" s="321"/>
      <c r="O5" s="321"/>
    </row>
    <row r="6" spans="1:17" ht="15.6">
      <c r="A6" s="91"/>
      <c r="B6" s="91"/>
      <c r="C6" s="346"/>
      <c r="D6" s="346"/>
      <c r="E6" s="346"/>
      <c r="F6" s="346"/>
      <c r="G6" s="346"/>
      <c r="H6" s="346"/>
      <c r="I6" s="346"/>
      <c r="J6" s="346"/>
      <c r="K6" s="346"/>
      <c r="L6" s="346"/>
      <c r="M6" s="346"/>
      <c r="N6" s="346"/>
      <c r="O6" s="346" t="s">
        <v>558</v>
      </c>
    </row>
    <row r="7" spans="1:17" s="331" customFormat="1" ht="16.2" thickBot="1">
      <c r="A7" s="92"/>
      <c r="B7" s="92"/>
      <c r="C7" s="320" t="s">
        <v>527</v>
      </c>
      <c r="D7" s="320" t="s">
        <v>528</v>
      </c>
      <c r="E7" s="320" t="s">
        <v>529</v>
      </c>
      <c r="F7" s="320" t="s">
        <v>530</v>
      </c>
      <c r="G7" s="320" t="s">
        <v>531</v>
      </c>
      <c r="H7" s="320" t="s">
        <v>532</v>
      </c>
      <c r="I7" s="320" t="s">
        <v>533</v>
      </c>
      <c r="J7" s="320" t="s">
        <v>534</v>
      </c>
      <c r="K7" s="320" t="s">
        <v>535</v>
      </c>
      <c r="L7" s="320" t="s">
        <v>536</v>
      </c>
      <c r="M7" s="320" t="s">
        <v>537</v>
      </c>
      <c r="N7" s="320" t="s">
        <v>538</v>
      </c>
      <c r="O7" s="361" t="s">
        <v>615</v>
      </c>
      <c r="Q7" s="330"/>
    </row>
    <row r="8" spans="1:17" ht="16.2" thickTop="1">
      <c r="A8" s="91"/>
      <c r="B8" s="91"/>
      <c r="C8" s="85"/>
      <c r="D8" s="85"/>
      <c r="E8" s="85"/>
      <c r="F8" s="85"/>
      <c r="G8" s="85"/>
      <c r="H8" s="85"/>
      <c r="I8" s="85"/>
      <c r="J8" s="85"/>
      <c r="K8" s="85"/>
      <c r="L8" s="85"/>
      <c r="M8" s="85"/>
      <c r="N8" s="85"/>
      <c r="O8" s="85"/>
    </row>
    <row r="9" spans="1:17" ht="16.2" thickBot="1">
      <c r="A9" s="340" t="s">
        <v>212</v>
      </c>
      <c r="B9" s="351"/>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2" t="s">
        <v>208</v>
      </c>
      <c r="B11" s="362" t="s">
        <v>257</v>
      </c>
      <c r="C11" s="85"/>
      <c r="D11" s="85"/>
      <c r="E11" s="85"/>
      <c r="F11" s="85"/>
      <c r="G11" s="85"/>
      <c r="H11" s="85"/>
      <c r="I11" s="85"/>
      <c r="J11" s="85"/>
      <c r="K11" s="85"/>
      <c r="L11" s="85"/>
      <c r="M11" s="85"/>
      <c r="N11" s="85"/>
      <c r="O11" s="85"/>
    </row>
    <row r="12" spans="1:17" ht="15.6">
      <c r="A12" s="91"/>
      <c r="B12" s="91"/>
      <c r="C12" s="85"/>
      <c r="D12" s="85"/>
      <c r="E12" s="85"/>
      <c r="F12" s="85"/>
      <c r="G12" s="85"/>
      <c r="H12" s="85"/>
      <c r="I12" s="399"/>
      <c r="J12" s="399"/>
      <c r="K12" s="85"/>
      <c r="L12" s="85"/>
      <c r="M12" s="85"/>
      <c r="N12" s="85"/>
      <c r="O12" s="85"/>
    </row>
    <row r="13" spans="1:17" s="333" customFormat="1" ht="15.6">
      <c r="A13" s="395" t="s">
        <v>354</v>
      </c>
      <c r="B13" s="360" t="s">
        <v>24</v>
      </c>
      <c r="C13" s="103">
        <v>1988.65</v>
      </c>
      <c r="D13" s="103">
        <v>1856.73</v>
      </c>
      <c r="E13" s="103">
        <v>946.15</v>
      </c>
      <c r="F13" s="103">
        <v>423338.36</v>
      </c>
      <c r="G13" s="103">
        <v>1142.48</v>
      </c>
      <c r="H13" s="103">
        <v>363229.14</v>
      </c>
      <c r="I13" s="103"/>
      <c r="J13" s="103"/>
      <c r="K13" s="103"/>
      <c r="L13" s="103"/>
      <c r="M13" s="103"/>
      <c r="N13" s="103"/>
      <c r="O13" s="103">
        <f t="shared" ref="O13:O20" si="0">ROUND(SUM(C13:N13),0)</f>
        <v>792502</v>
      </c>
      <c r="P13" s="396"/>
      <c r="Q13" s="334"/>
    </row>
    <row r="14" spans="1:17" s="333" customFormat="1" ht="15.6">
      <c r="A14" s="395" t="s">
        <v>355</v>
      </c>
      <c r="B14" s="360" t="s">
        <v>370</v>
      </c>
      <c r="C14" s="103">
        <v>5890.42</v>
      </c>
      <c r="D14" s="103">
        <v>4111.45</v>
      </c>
      <c r="E14" s="103">
        <v>1581.91</v>
      </c>
      <c r="F14" s="103">
        <v>2578.58</v>
      </c>
      <c r="G14" s="103">
        <v>1624.81</v>
      </c>
      <c r="H14" s="103">
        <v>1804.46</v>
      </c>
      <c r="I14" s="103"/>
      <c r="J14" s="103"/>
      <c r="K14" s="103"/>
      <c r="L14" s="103"/>
      <c r="M14" s="103"/>
      <c r="N14" s="103"/>
      <c r="O14" s="103">
        <f t="shared" si="0"/>
        <v>17592</v>
      </c>
      <c r="P14" s="396"/>
      <c r="Q14" s="334"/>
    </row>
    <row r="15" spans="1:17" s="333" customFormat="1" ht="15.6">
      <c r="A15" s="416" t="s">
        <v>356</v>
      </c>
      <c r="B15" s="417" t="s">
        <v>23</v>
      </c>
      <c r="C15" s="103"/>
      <c r="D15" s="103"/>
      <c r="E15" s="103">
        <v>384</v>
      </c>
      <c r="F15" s="103">
        <v>249102.25</v>
      </c>
      <c r="G15" s="103"/>
      <c r="H15" s="103"/>
      <c r="I15" s="103"/>
      <c r="J15" s="103"/>
      <c r="K15" s="103"/>
      <c r="L15" s="103"/>
      <c r="M15" s="103"/>
      <c r="N15" s="103"/>
      <c r="O15" s="103">
        <f t="shared" si="0"/>
        <v>249486</v>
      </c>
      <c r="P15" s="396"/>
      <c r="Q15" s="334"/>
    </row>
    <row r="16" spans="1:17" s="333" customFormat="1" ht="15.6">
      <c r="A16" s="395" t="s">
        <v>357</v>
      </c>
      <c r="B16" s="360" t="s">
        <v>254</v>
      </c>
      <c r="C16" s="103">
        <v>616.24</v>
      </c>
      <c r="D16" s="103">
        <v>456.49</v>
      </c>
      <c r="E16" s="103">
        <v>575.66</v>
      </c>
      <c r="F16" s="103">
        <v>1088.7</v>
      </c>
      <c r="G16" s="103">
        <v>35.11</v>
      </c>
      <c r="H16" s="103">
        <v>782.51</v>
      </c>
      <c r="I16" s="103"/>
      <c r="J16" s="103"/>
      <c r="K16" s="103"/>
      <c r="L16" s="103"/>
      <c r="M16" s="103"/>
      <c r="N16" s="103"/>
      <c r="O16" s="103">
        <f t="shared" si="0"/>
        <v>3555</v>
      </c>
      <c r="P16" s="396"/>
      <c r="Q16" s="334"/>
    </row>
    <row r="17" spans="1:17" s="333" customFormat="1" ht="15.6">
      <c r="A17" s="395" t="s">
        <v>358</v>
      </c>
      <c r="B17" s="360" t="s">
        <v>437</v>
      </c>
      <c r="C17" s="103"/>
      <c r="D17" s="103"/>
      <c r="E17" s="103"/>
      <c r="F17" s="103"/>
      <c r="G17" s="103"/>
      <c r="H17" s="103">
        <v>7000.55</v>
      </c>
      <c r="I17" s="103"/>
      <c r="J17" s="103"/>
      <c r="K17" s="103"/>
      <c r="L17" s="103"/>
      <c r="M17" s="103"/>
      <c r="N17" s="103"/>
      <c r="O17" s="103">
        <f t="shared" si="0"/>
        <v>7001</v>
      </c>
      <c r="Q17" s="334"/>
    </row>
    <row r="18" spans="1:17" s="333" customFormat="1" ht="15.6">
      <c r="A18" s="416" t="s">
        <v>359</v>
      </c>
      <c r="B18" s="417" t="s">
        <v>361</v>
      </c>
      <c r="C18" s="103"/>
      <c r="D18" s="103"/>
      <c r="E18" s="103"/>
      <c r="F18" s="103"/>
      <c r="G18" s="103"/>
      <c r="H18" s="103"/>
      <c r="I18" s="103"/>
      <c r="J18" s="103"/>
      <c r="K18" s="103"/>
      <c r="L18" s="103"/>
      <c r="M18" s="103"/>
      <c r="N18" s="103"/>
      <c r="O18" s="103">
        <f t="shared" si="0"/>
        <v>0</v>
      </c>
      <c r="Q18" s="334"/>
    </row>
    <row r="19" spans="1:17" s="333" customFormat="1" ht="15.6">
      <c r="A19" s="102" t="s">
        <v>389</v>
      </c>
      <c r="B19" s="360" t="s">
        <v>388</v>
      </c>
      <c r="C19" s="103">
        <v>0</v>
      </c>
      <c r="D19" s="103"/>
      <c r="E19" s="103"/>
      <c r="F19" s="103"/>
      <c r="G19" s="103"/>
      <c r="H19" s="103"/>
      <c r="I19" s="103"/>
      <c r="J19" s="103"/>
      <c r="K19" s="103"/>
      <c r="L19" s="103"/>
      <c r="M19" s="103"/>
      <c r="N19" s="103"/>
      <c r="O19" s="103">
        <f t="shared" si="0"/>
        <v>0</v>
      </c>
      <c r="Q19" s="334"/>
    </row>
    <row r="20" spans="1:17" ht="15.6">
      <c r="A20" s="363" t="s">
        <v>207</v>
      </c>
      <c r="B20" s="363"/>
      <c r="C20" s="88">
        <f t="shared" ref="C20:M20" si="1">SUM(C13:C19)</f>
        <v>8495.31</v>
      </c>
      <c r="D20" s="88">
        <f t="shared" si="1"/>
        <v>6424.67</v>
      </c>
      <c r="E20" s="88">
        <f t="shared" si="1"/>
        <v>3487.72</v>
      </c>
      <c r="F20" s="88">
        <f t="shared" si="1"/>
        <v>676107.8899999999</v>
      </c>
      <c r="G20" s="88">
        <f t="shared" si="1"/>
        <v>2802.4</v>
      </c>
      <c r="H20" s="88">
        <f t="shared" si="1"/>
        <v>372816.66000000003</v>
      </c>
      <c r="I20" s="88">
        <f t="shared" si="1"/>
        <v>0</v>
      </c>
      <c r="J20" s="88">
        <f t="shared" si="1"/>
        <v>0</v>
      </c>
      <c r="K20" s="88">
        <f t="shared" si="1"/>
        <v>0</v>
      </c>
      <c r="L20" s="88">
        <f t="shared" si="1"/>
        <v>0</v>
      </c>
      <c r="M20" s="88">
        <f t="shared" si="1"/>
        <v>0</v>
      </c>
      <c r="N20" s="88">
        <f>SUM(N13:N19)</f>
        <v>0</v>
      </c>
      <c r="O20" s="88">
        <f t="shared" si="0"/>
        <v>1070135</v>
      </c>
    </row>
    <row r="21" spans="1:17" ht="15.6">
      <c r="A21" s="91"/>
      <c r="B21" s="91"/>
      <c r="C21" s="85"/>
      <c r="D21" s="85"/>
      <c r="E21" s="85"/>
      <c r="F21" s="85"/>
      <c r="G21" s="85"/>
      <c r="H21" s="85"/>
      <c r="I21" s="85"/>
      <c r="J21" s="85"/>
      <c r="K21" s="85"/>
      <c r="L21" s="85"/>
      <c r="M21" s="85"/>
      <c r="N21" s="85"/>
      <c r="O21" s="85"/>
    </row>
    <row r="22" spans="1:17" ht="15.6">
      <c r="A22" s="362" t="s">
        <v>206</v>
      </c>
      <c r="B22" s="362"/>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-2802.4</v>
      </c>
      <c r="H24" s="85">
        <f t="shared" si="2"/>
        <v>-372816.66000000003</v>
      </c>
      <c r="I24" s="85">
        <f t="shared" si="2"/>
        <v>0</v>
      </c>
      <c r="J24" s="85">
        <f t="shared" si="2"/>
        <v>0</v>
      </c>
      <c r="K24" s="85">
        <f t="shared" si="2"/>
        <v>0</v>
      </c>
      <c r="L24" s="85">
        <f t="shared" si="2"/>
        <v>0</v>
      </c>
      <c r="M24" s="85">
        <f t="shared" si="2"/>
        <v>0</v>
      </c>
      <c r="N24" s="85">
        <f>-N20</f>
        <v>0</v>
      </c>
      <c r="O24" s="90">
        <f>ROUND(SUM(C24:N24),0)</f>
        <v>-1070135</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2" t="s">
        <v>205</v>
      </c>
      <c r="B27" s="362"/>
      <c r="C27" s="88">
        <f>ROUND(SUM(C23:C26),0)</f>
        <v>-8495</v>
      </c>
      <c r="D27" s="88">
        <f>ROUND(SUM(D23:D26),0)</f>
        <v>-6425</v>
      </c>
      <c r="E27" s="88">
        <f t="shared" ref="E27:L27" si="3">ROUND(SUM(E23:E26),0)</f>
        <v>-3488</v>
      </c>
      <c r="F27" s="88">
        <f t="shared" si="3"/>
        <v>-676108</v>
      </c>
      <c r="G27" s="88">
        <f t="shared" si="3"/>
        <v>-2802</v>
      </c>
      <c r="H27" s="88">
        <f t="shared" si="3"/>
        <v>-372817</v>
      </c>
      <c r="I27" s="88">
        <f t="shared" si="3"/>
        <v>0</v>
      </c>
      <c r="J27" s="88">
        <f t="shared" si="3"/>
        <v>0</v>
      </c>
      <c r="K27" s="88">
        <f t="shared" si="3"/>
        <v>0</v>
      </c>
      <c r="L27" s="88">
        <f t="shared" si="3"/>
        <v>0</v>
      </c>
      <c r="M27" s="88">
        <f>ROUND(SUM(M23:M26),0)</f>
        <v>0</v>
      </c>
      <c r="N27" s="88">
        <f>ROUND(SUM(N23:N26),0)</f>
        <v>0</v>
      </c>
      <c r="O27" s="88">
        <f>SUM(O23:O26)</f>
        <v>-1070135</v>
      </c>
    </row>
    <row r="28" spans="1:17" ht="15.6">
      <c r="A28" s="91"/>
      <c r="B28" s="91"/>
      <c r="C28" s="85"/>
      <c r="D28" s="85"/>
      <c r="E28" s="85"/>
      <c r="F28" s="85"/>
      <c r="G28" s="85"/>
      <c r="H28" s="85"/>
      <c r="I28" s="85"/>
      <c r="J28" s="85"/>
      <c r="K28" s="85"/>
      <c r="L28" s="85"/>
      <c r="M28" s="85"/>
      <c r="N28" s="85"/>
      <c r="O28" s="85"/>
    </row>
    <row r="29" spans="1:17" ht="16.2" thickBot="1">
      <c r="A29" s="340" t="s">
        <v>204</v>
      </c>
      <c r="B29" s="340"/>
      <c r="C29" s="343">
        <f>ROUND(+C9+C20+C27,0)</f>
        <v>0</v>
      </c>
      <c r="D29" s="343"/>
      <c r="E29" s="343"/>
      <c r="F29" s="343"/>
      <c r="G29" s="343"/>
      <c r="H29" s="343"/>
      <c r="I29" s="343"/>
      <c r="J29" s="343"/>
      <c r="K29" s="343"/>
      <c r="L29" s="343"/>
      <c r="M29" s="343"/>
      <c r="N29" s="343"/>
      <c r="O29" s="343">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7"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O13" sqref="O13"/>
    </sheetView>
  </sheetViews>
  <sheetFormatPr defaultRowHeight="13.2"/>
  <cols>
    <col min="1" max="1" width="47" style="336" bestFit="1" customWidth="1"/>
    <col min="2" max="2" width="17.109375" style="336" bestFit="1" customWidth="1"/>
    <col min="3" max="3" width="11.33203125" style="322" hidden="1" customWidth="1"/>
    <col min="4" max="4" width="11.44140625" style="322" hidden="1" customWidth="1"/>
    <col min="5" max="6" width="11.6640625" style="322" hidden="1" customWidth="1"/>
    <col min="7" max="7" width="11.33203125" style="322" hidden="1" customWidth="1"/>
    <col min="8" max="8" width="11.6640625" style="322" customWidth="1"/>
    <col min="9" max="9" width="12.109375" style="322" hidden="1" customWidth="1"/>
    <col min="10" max="10" width="11.6640625" style="322" hidden="1" customWidth="1"/>
    <col min="11" max="11" width="12.109375" style="322" hidden="1" customWidth="1"/>
    <col min="12" max="12" width="11.44140625" style="322" hidden="1" customWidth="1"/>
    <col min="13" max="13" width="11.109375" style="322" hidden="1" customWidth="1"/>
    <col min="14" max="14" width="11.6640625" style="322" hidden="1" customWidth="1"/>
    <col min="15" max="15" width="16.109375" style="322" bestFit="1" customWidth="1"/>
    <col min="16" max="19" width="22.33203125" style="336" customWidth="1"/>
    <col min="20" max="21" width="12.6640625" style="336" customWidth="1"/>
    <col min="22" max="22" width="13.33203125" style="336" customWidth="1"/>
    <col min="23" max="254" width="8.88671875" style="336"/>
    <col min="255" max="255" width="46.33203125" style="336" bestFit="1" customWidth="1"/>
    <col min="256" max="256" width="9.6640625" style="336" bestFit="1" customWidth="1"/>
    <col min="257" max="267" width="9.109375" style="336" customWidth="1"/>
    <col min="268" max="268" width="17.44140625" style="336" customWidth="1"/>
    <col min="269" max="277" width="9.109375" style="336" customWidth="1"/>
    <col min="278" max="510" width="8.88671875" style="336"/>
    <col min="511" max="511" width="46.33203125" style="336" bestFit="1" customWidth="1"/>
    <col min="512" max="512" width="9.6640625" style="336" bestFit="1" customWidth="1"/>
    <col min="513" max="523" width="9.109375" style="336" customWidth="1"/>
    <col min="524" max="524" width="17.44140625" style="336" customWidth="1"/>
    <col min="525" max="533" width="9.109375" style="336" customWidth="1"/>
    <col min="534" max="766" width="8.88671875" style="336"/>
    <col min="767" max="767" width="46.33203125" style="336" bestFit="1" customWidth="1"/>
    <col min="768" max="768" width="9.6640625" style="336" bestFit="1" customWidth="1"/>
    <col min="769" max="779" width="9.109375" style="336" customWidth="1"/>
    <col min="780" max="780" width="17.44140625" style="336" customWidth="1"/>
    <col min="781" max="789" width="9.109375" style="336" customWidth="1"/>
    <col min="790" max="1022" width="8.88671875" style="336"/>
    <col min="1023" max="1023" width="46.33203125" style="336" bestFit="1" customWidth="1"/>
    <col min="1024" max="1024" width="9.6640625" style="336" bestFit="1" customWidth="1"/>
    <col min="1025" max="1035" width="9.109375" style="336" customWidth="1"/>
    <col min="1036" max="1036" width="17.44140625" style="336" customWidth="1"/>
    <col min="1037" max="1045" width="9.109375" style="336" customWidth="1"/>
    <col min="1046" max="1278" width="8.88671875" style="336"/>
    <col min="1279" max="1279" width="46.33203125" style="336" bestFit="1" customWidth="1"/>
    <col min="1280" max="1280" width="9.6640625" style="336" bestFit="1" customWidth="1"/>
    <col min="1281" max="1291" width="9.109375" style="336" customWidth="1"/>
    <col min="1292" max="1292" width="17.44140625" style="336" customWidth="1"/>
    <col min="1293" max="1301" width="9.109375" style="336" customWidth="1"/>
    <col min="1302" max="1534" width="8.88671875" style="336"/>
    <col min="1535" max="1535" width="46.33203125" style="336" bestFit="1" customWidth="1"/>
    <col min="1536" max="1536" width="9.6640625" style="336" bestFit="1" customWidth="1"/>
    <col min="1537" max="1547" width="9.109375" style="336" customWidth="1"/>
    <col min="1548" max="1548" width="17.44140625" style="336" customWidth="1"/>
    <col min="1549" max="1557" width="9.109375" style="336" customWidth="1"/>
    <col min="1558" max="1790" width="8.88671875" style="336"/>
    <col min="1791" max="1791" width="46.33203125" style="336" bestFit="1" customWidth="1"/>
    <col min="1792" max="1792" width="9.6640625" style="336" bestFit="1" customWidth="1"/>
    <col min="1793" max="1803" width="9.109375" style="336" customWidth="1"/>
    <col min="1804" max="1804" width="17.44140625" style="336" customWidth="1"/>
    <col min="1805" max="1813" width="9.109375" style="336" customWidth="1"/>
    <col min="1814" max="2046" width="8.88671875" style="336"/>
    <col min="2047" max="2047" width="46.33203125" style="336" bestFit="1" customWidth="1"/>
    <col min="2048" max="2048" width="9.6640625" style="336" bestFit="1" customWidth="1"/>
    <col min="2049" max="2059" width="9.109375" style="336" customWidth="1"/>
    <col min="2060" max="2060" width="17.44140625" style="336" customWidth="1"/>
    <col min="2061" max="2069" width="9.109375" style="336" customWidth="1"/>
    <col min="2070" max="2302" width="8.88671875" style="336"/>
    <col min="2303" max="2303" width="46.33203125" style="336" bestFit="1" customWidth="1"/>
    <col min="2304" max="2304" width="9.6640625" style="336" bestFit="1" customWidth="1"/>
    <col min="2305" max="2315" width="9.109375" style="336" customWidth="1"/>
    <col min="2316" max="2316" width="17.44140625" style="336" customWidth="1"/>
    <col min="2317" max="2325" width="9.109375" style="336" customWidth="1"/>
    <col min="2326" max="2558" width="8.88671875" style="336"/>
    <col min="2559" max="2559" width="46.33203125" style="336" bestFit="1" customWidth="1"/>
    <col min="2560" max="2560" width="9.6640625" style="336" bestFit="1" customWidth="1"/>
    <col min="2561" max="2571" width="9.109375" style="336" customWidth="1"/>
    <col min="2572" max="2572" width="17.44140625" style="336" customWidth="1"/>
    <col min="2573" max="2581" width="9.109375" style="336" customWidth="1"/>
    <col min="2582" max="2814" width="8.88671875" style="336"/>
    <col min="2815" max="2815" width="46.33203125" style="336" bestFit="1" customWidth="1"/>
    <col min="2816" max="2816" width="9.6640625" style="336" bestFit="1" customWidth="1"/>
    <col min="2817" max="2827" width="9.109375" style="336" customWidth="1"/>
    <col min="2828" max="2828" width="17.44140625" style="336" customWidth="1"/>
    <col min="2829" max="2837" width="9.109375" style="336" customWidth="1"/>
    <col min="2838" max="3070" width="8.88671875" style="336"/>
    <col min="3071" max="3071" width="46.33203125" style="336" bestFit="1" customWidth="1"/>
    <col min="3072" max="3072" width="9.6640625" style="336" bestFit="1" customWidth="1"/>
    <col min="3073" max="3083" width="9.109375" style="336" customWidth="1"/>
    <col min="3084" max="3084" width="17.44140625" style="336" customWidth="1"/>
    <col min="3085" max="3093" width="9.109375" style="336" customWidth="1"/>
    <col min="3094" max="3326" width="8.88671875" style="336"/>
    <col min="3327" max="3327" width="46.33203125" style="336" bestFit="1" customWidth="1"/>
    <col min="3328" max="3328" width="9.6640625" style="336" bestFit="1" customWidth="1"/>
    <col min="3329" max="3339" width="9.109375" style="336" customWidth="1"/>
    <col min="3340" max="3340" width="17.44140625" style="336" customWidth="1"/>
    <col min="3341" max="3349" width="9.109375" style="336" customWidth="1"/>
    <col min="3350" max="3582" width="8.88671875" style="336"/>
    <col min="3583" max="3583" width="46.33203125" style="336" bestFit="1" customWidth="1"/>
    <col min="3584" max="3584" width="9.6640625" style="336" bestFit="1" customWidth="1"/>
    <col min="3585" max="3595" width="9.109375" style="336" customWidth="1"/>
    <col min="3596" max="3596" width="17.44140625" style="336" customWidth="1"/>
    <col min="3597" max="3605" width="9.109375" style="336" customWidth="1"/>
    <col min="3606" max="3838" width="8.88671875" style="336"/>
    <col min="3839" max="3839" width="46.33203125" style="336" bestFit="1" customWidth="1"/>
    <col min="3840" max="3840" width="9.6640625" style="336" bestFit="1" customWidth="1"/>
    <col min="3841" max="3851" width="9.109375" style="336" customWidth="1"/>
    <col min="3852" max="3852" width="17.44140625" style="336" customWidth="1"/>
    <col min="3853" max="3861" width="9.109375" style="336" customWidth="1"/>
    <col min="3862" max="4094" width="8.88671875" style="336"/>
    <col min="4095" max="4095" width="46.33203125" style="336" bestFit="1" customWidth="1"/>
    <col min="4096" max="4096" width="9.6640625" style="336" bestFit="1" customWidth="1"/>
    <col min="4097" max="4107" width="9.109375" style="336" customWidth="1"/>
    <col min="4108" max="4108" width="17.44140625" style="336" customWidth="1"/>
    <col min="4109" max="4117" width="9.109375" style="336" customWidth="1"/>
    <col min="4118" max="4350" width="8.88671875" style="336"/>
    <col min="4351" max="4351" width="46.33203125" style="336" bestFit="1" customWidth="1"/>
    <col min="4352" max="4352" width="9.6640625" style="336" bestFit="1" customWidth="1"/>
    <col min="4353" max="4363" width="9.109375" style="336" customWidth="1"/>
    <col min="4364" max="4364" width="17.44140625" style="336" customWidth="1"/>
    <col min="4365" max="4373" width="9.109375" style="336" customWidth="1"/>
    <col min="4374" max="4606" width="8.88671875" style="336"/>
    <col min="4607" max="4607" width="46.33203125" style="336" bestFit="1" customWidth="1"/>
    <col min="4608" max="4608" width="9.6640625" style="336" bestFit="1" customWidth="1"/>
    <col min="4609" max="4619" width="9.109375" style="336" customWidth="1"/>
    <col min="4620" max="4620" width="17.44140625" style="336" customWidth="1"/>
    <col min="4621" max="4629" width="9.109375" style="336" customWidth="1"/>
    <col min="4630" max="4862" width="8.88671875" style="336"/>
    <col min="4863" max="4863" width="46.33203125" style="336" bestFit="1" customWidth="1"/>
    <col min="4864" max="4864" width="9.6640625" style="336" bestFit="1" customWidth="1"/>
    <col min="4865" max="4875" width="9.109375" style="336" customWidth="1"/>
    <col min="4876" max="4876" width="17.44140625" style="336" customWidth="1"/>
    <col min="4877" max="4885" width="9.109375" style="336" customWidth="1"/>
    <col min="4886" max="5118" width="8.88671875" style="336"/>
    <col min="5119" max="5119" width="46.33203125" style="336" bestFit="1" customWidth="1"/>
    <col min="5120" max="5120" width="9.6640625" style="336" bestFit="1" customWidth="1"/>
    <col min="5121" max="5131" width="9.109375" style="336" customWidth="1"/>
    <col min="5132" max="5132" width="17.44140625" style="336" customWidth="1"/>
    <col min="5133" max="5141" width="9.109375" style="336" customWidth="1"/>
    <col min="5142" max="5374" width="8.88671875" style="336"/>
    <col min="5375" max="5375" width="46.33203125" style="336" bestFit="1" customWidth="1"/>
    <col min="5376" max="5376" width="9.6640625" style="336" bestFit="1" customWidth="1"/>
    <col min="5377" max="5387" width="9.109375" style="336" customWidth="1"/>
    <col min="5388" max="5388" width="17.44140625" style="336" customWidth="1"/>
    <col min="5389" max="5397" width="9.109375" style="336" customWidth="1"/>
    <col min="5398" max="5630" width="8.88671875" style="336"/>
    <col min="5631" max="5631" width="46.33203125" style="336" bestFit="1" customWidth="1"/>
    <col min="5632" max="5632" width="9.6640625" style="336" bestFit="1" customWidth="1"/>
    <col min="5633" max="5643" width="9.109375" style="336" customWidth="1"/>
    <col min="5644" max="5644" width="17.44140625" style="336" customWidth="1"/>
    <col min="5645" max="5653" width="9.109375" style="336" customWidth="1"/>
    <col min="5654" max="5886" width="8.88671875" style="336"/>
    <col min="5887" max="5887" width="46.33203125" style="336" bestFit="1" customWidth="1"/>
    <col min="5888" max="5888" width="9.6640625" style="336" bestFit="1" customWidth="1"/>
    <col min="5889" max="5899" width="9.109375" style="336" customWidth="1"/>
    <col min="5900" max="5900" width="17.44140625" style="336" customWidth="1"/>
    <col min="5901" max="5909" width="9.109375" style="336" customWidth="1"/>
    <col min="5910" max="6142" width="8.88671875" style="336"/>
    <col min="6143" max="6143" width="46.33203125" style="336" bestFit="1" customWidth="1"/>
    <col min="6144" max="6144" width="9.6640625" style="336" bestFit="1" customWidth="1"/>
    <col min="6145" max="6155" width="9.109375" style="336" customWidth="1"/>
    <col min="6156" max="6156" width="17.44140625" style="336" customWidth="1"/>
    <col min="6157" max="6165" width="9.109375" style="336" customWidth="1"/>
    <col min="6166" max="6398" width="8.88671875" style="336"/>
    <col min="6399" max="6399" width="46.33203125" style="336" bestFit="1" customWidth="1"/>
    <col min="6400" max="6400" width="9.6640625" style="336" bestFit="1" customWidth="1"/>
    <col min="6401" max="6411" width="9.109375" style="336" customWidth="1"/>
    <col min="6412" max="6412" width="17.44140625" style="336" customWidth="1"/>
    <col min="6413" max="6421" width="9.109375" style="336" customWidth="1"/>
    <col min="6422" max="6654" width="8.88671875" style="336"/>
    <col min="6655" max="6655" width="46.33203125" style="336" bestFit="1" customWidth="1"/>
    <col min="6656" max="6656" width="9.6640625" style="336" bestFit="1" customWidth="1"/>
    <col min="6657" max="6667" width="9.109375" style="336" customWidth="1"/>
    <col min="6668" max="6668" width="17.44140625" style="336" customWidth="1"/>
    <col min="6669" max="6677" width="9.109375" style="336" customWidth="1"/>
    <col min="6678" max="6910" width="8.88671875" style="336"/>
    <col min="6911" max="6911" width="46.33203125" style="336" bestFit="1" customWidth="1"/>
    <col min="6912" max="6912" width="9.6640625" style="336" bestFit="1" customWidth="1"/>
    <col min="6913" max="6923" width="9.109375" style="336" customWidth="1"/>
    <col min="6924" max="6924" width="17.44140625" style="336" customWidth="1"/>
    <col min="6925" max="6933" width="9.109375" style="336" customWidth="1"/>
    <col min="6934" max="7166" width="8.88671875" style="336"/>
    <col min="7167" max="7167" width="46.33203125" style="336" bestFit="1" customWidth="1"/>
    <col min="7168" max="7168" width="9.6640625" style="336" bestFit="1" customWidth="1"/>
    <col min="7169" max="7179" width="9.109375" style="336" customWidth="1"/>
    <col min="7180" max="7180" width="17.44140625" style="336" customWidth="1"/>
    <col min="7181" max="7189" width="9.109375" style="336" customWidth="1"/>
    <col min="7190" max="7422" width="8.88671875" style="336"/>
    <col min="7423" max="7423" width="46.33203125" style="336" bestFit="1" customWidth="1"/>
    <col min="7424" max="7424" width="9.6640625" style="336" bestFit="1" customWidth="1"/>
    <col min="7425" max="7435" width="9.109375" style="336" customWidth="1"/>
    <col min="7436" max="7436" width="17.44140625" style="336" customWidth="1"/>
    <col min="7437" max="7445" width="9.109375" style="336" customWidth="1"/>
    <col min="7446" max="7678" width="8.88671875" style="336"/>
    <col min="7679" max="7679" width="46.33203125" style="336" bestFit="1" customWidth="1"/>
    <col min="7680" max="7680" width="9.6640625" style="336" bestFit="1" customWidth="1"/>
    <col min="7681" max="7691" width="9.109375" style="336" customWidth="1"/>
    <col min="7692" max="7692" width="17.44140625" style="336" customWidth="1"/>
    <col min="7693" max="7701" width="9.109375" style="336" customWidth="1"/>
    <col min="7702" max="7934" width="8.88671875" style="336"/>
    <col min="7935" max="7935" width="46.33203125" style="336" bestFit="1" customWidth="1"/>
    <col min="7936" max="7936" width="9.6640625" style="336" bestFit="1" customWidth="1"/>
    <col min="7937" max="7947" width="9.109375" style="336" customWidth="1"/>
    <col min="7948" max="7948" width="17.44140625" style="336" customWidth="1"/>
    <col min="7949" max="7957" width="9.109375" style="336" customWidth="1"/>
    <col min="7958" max="8190" width="8.88671875" style="336"/>
    <col min="8191" max="8191" width="46.33203125" style="336" bestFit="1" customWidth="1"/>
    <col min="8192" max="8192" width="9.6640625" style="336" bestFit="1" customWidth="1"/>
    <col min="8193" max="8203" width="9.109375" style="336" customWidth="1"/>
    <col min="8204" max="8204" width="17.44140625" style="336" customWidth="1"/>
    <col min="8205" max="8213" width="9.109375" style="336" customWidth="1"/>
    <col min="8214" max="8446" width="8.88671875" style="336"/>
    <col min="8447" max="8447" width="46.33203125" style="336" bestFit="1" customWidth="1"/>
    <col min="8448" max="8448" width="9.6640625" style="336" bestFit="1" customWidth="1"/>
    <col min="8449" max="8459" width="9.109375" style="336" customWidth="1"/>
    <col min="8460" max="8460" width="17.44140625" style="336" customWidth="1"/>
    <col min="8461" max="8469" width="9.109375" style="336" customWidth="1"/>
    <col min="8470" max="8702" width="8.88671875" style="336"/>
    <col min="8703" max="8703" width="46.33203125" style="336" bestFit="1" customWidth="1"/>
    <col min="8704" max="8704" width="9.6640625" style="336" bestFit="1" customWidth="1"/>
    <col min="8705" max="8715" width="9.109375" style="336" customWidth="1"/>
    <col min="8716" max="8716" width="17.44140625" style="336" customWidth="1"/>
    <col min="8717" max="8725" width="9.109375" style="336" customWidth="1"/>
    <col min="8726" max="8958" width="8.88671875" style="336"/>
    <col min="8959" max="8959" width="46.33203125" style="336" bestFit="1" customWidth="1"/>
    <col min="8960" max="8960" width="9.6640625" style="336" bestFit="1" customWidth="1"/>
    <col min="8961" max="8971" width="9.109375" style="336" customWidth="1"/>
    <col min="8972" max="8972" width="17.44140625" style="336" customWidth="1"/>
    <col min="8973" max="8981" width="9.109375" style="336" customWidth="1"/>
    <col min="8982" max="9214" width="8.88671875" style="336"/>
    <col min="9215" max="9215" width="46.33203125" style="336" bestFit="1" customWidth="1"/>
    <col min="9216" max="9216" width="9.6640625" style="336" bestFit="1" customWidth="1"/>
    <col min="9217" max="9227" width="9.109375" style="336" customWidth="1"/>
    <col min="9228" max="9228" width="17.44140625" style="336" customWidth="1"/>
    <col min="9229" max="9237" width="9.109375" style="336" customWidth="1"/>
    <col min="9238" max="9470" width="8.88671875" style="336"/>
    <col min="9471" max="9471" width="46.33203125" style="336" bestFit="1" customWidth="1"/>
    <col min="9472" max="9472" width="9.6640625" style="336" bestFit="1" customWidth="1"/>
    <col min="9473" max="9483" width="9.109375" style="336" customWidth="1"/>
    <col min="9484" max="9484" width="17.44140625" style="336" customWidth="1"/>
    <col min="9485" max="9493" width="9.109375" style="336" customWidth="1"/>
    <col min="9494" max="9726" width="8.88671875" style="336"/>
    <col min="9727" max="9727" width="46.33203125" style="336" bestFit="1" customWidth="1"/>
    <col min="9728" max="9728" width="9.6640625" style="336" bestFit="1" customWidth="1"/>
    <col min="9729" max="9739" width="9.109375" style="336" customWidth="1"/>
    <col min="9740" max="9740" width="17.44140625" style="336" customWidth="1"/>
    <col min="9741" max="9749" width="9.109375" style="336" customWidth="1"/>
    <col min="9750" max="9982" width="8.88671875" style="336"/>
    <col min="9983" max="9983" width="46.33203125" style="336" bestFit="1" customWidth="1"/>
    <col min="9984" max="9984" width="9.6640625" style="336" bestFit="1" customWidth="1"/>
    <col min="9985" max="9995" width="9.109375" style="336" customWidth="1"/>
    <col min="9996" max="9996" width="17.44140625" style="336" customWidth="1"/>
    <col min="9997" max="10005" width="9.109375" style="336" customWidth="1"/>
    <col min="10006" max="10238" width="8.88671875" style="336"/>
    <col min="10239" max="10239" width="46.33203125" style="336" bestFit="1" customWidth="1"/>
    <col min="10240" max="10240" width="9.6640625" style="336" bestFit="1" customWidth="1"/>
    <col min="10241" max="10251" width="9.109375" style="336" customWidth="1"/>
    <col min="10252" max="10252" width="17.44140625" style="336" customWidth="1"/>
    <col min="10253" max="10261" width="9.109375" style="336" customWidth="1"/>
    <col min="10262" max="10494" width="8.88671875" style="336"/>
    <col min="10495" max="10495" width="46.33203125" style="336" bestFit="1" customWidth="1"/>
    <col min="10496" max="10496" width="9.6640625" style="336" bestFit="1" customWidth="1"/>
    <col min="10497" max="10507" width="9.109375" style="336" customWidth="1"/>
    <col min="10508" max="10508" width="17.44140625" style="336" customWidth="1"/>
    <col min="10509" max="10517" width="9.109375" style="336" customWidth="1"/>
    <col min="10518" max="10750" width="8.88671875" style="336"/>
    <col min="10751" max="10751" width="46.33203125" style="336" bestFit="1" customWidth="1"/>
    <col min="10752" max="10752" width="9.6640625" style="336" bestFit="1" customWidth="1"/>
    <col min="10753" max="10763" width="9.109375" style="336" customWidth="1"/>
    <col min="10764" max="10764" width="17.44140625" style="336" customWidth="1"/>
    <col min="10765" max="10773" width="9.109375" style="336" customWidth="1"/>
    <col min="10774" max="11006" width="8.88671875" style="336"/>
    <col min="11007" max="11007" width="46.33203125" style="336" bestFit="1" customWidth="1"/>
    <col min="11008" max="11008" width="9.6640625" style="336" bestFit="1" customWidth="1"/>
    <col min="11009" max="11019" width="9.109375" style="336" customWidth="1"/>
    <col min="11020" max="11020" width="17.44140625" style="336" customWidth="1"/>
    <col min="11021" max="11029" width="9.109375" style="336" customWidth="1"/>
    <col min="11030" max="11262" width="8.88671875" style="336"/>
    <col min="11263" max="11263" width="46.33203125" style="336" bestFit="1" customWidth="1"/>
    <col min="11264" max="11264" width="9.6640625" style="336" bestFit="1" customWidth="1"/>
    <col min="11265" max="11275" width="9.109375" style="336" customWidth="1"/>
    <col min="11276" max="11276" width="17.44140625" style="336" customWidth="1"/>
    <col min="11277" max="11285" width="9.109375" style="336" customWidth="1"/>
    <col min="11286" max="11518" width="8.88671875" style="336"/>
    <col min="11519" max="11519" width="46.33203125" style="336" bestFit="1" customWidth="1"/>
    <col min="11520" max="11520" width="9.6640625" style="336" bestFit="1" customWidth="1"/>
    <col min="11521" max="11531" width="9.109375" style="336" customWidth="1"/>
    <col min="11532" max="11532" width="17.44140625" style="336" customWidth="1"/>
    <col min="11533" max="11541" width="9.109375" style="336" customWidth="1"/>
    <col min="11542" max="11774" width="8.88671875" style="336"/>
    <col min="11775" max="11775" width="46.33203125" style="336" bestFit="1" customWidth="1"/>
    <col min="11776" max="11776" width="9.6640625" style="336" bestFit="1" customWidth="1"/>
    <col min="11777" max="11787" width="9.109375" style="336" customWidth="1"/>
    <col min="11788" max="11788" width="17.44140625" style="336" customWidth="1"/>
    <col min="11789" max="11797" width="9.109375" style="336" customWidth="1"/>
    <col min="11798" max="12030" width="8.88671875" style="336"/>
    <col min="12031" max="12031" width="46.33203125" style="336" bestFit="1" customWidth="1"/>
    <col min="12032" max="12032" width="9.6640625" style="336" bestFit="1" customWidth="1"/>
    <col min="12033" max="12043" width="9.109375" style="336" customWidth="1"/>
    <col min="12044" max="12044" width="17.44140625" style="336" customWidth="1"/>
    <col min="12045" max="12053" width="9.109375" style="336" customWidth="1"/>
    <col min="12054" max="12286" width="8.88671875" style="336"/>
    <col min="12287" max="12287" width="46.33203125" style="336" bestFit="1" customWidth="1"/>
    <col min="12288" max="12288" width="9.6640625" style="336" bestFit="1" customWidth="1"/>
    <col min="12289" max="12299" width="9.109375" style="336" customWidth="1"/>
    <col min="12300" max="12300" width="17.44140625" style="336" customWidth="1"/>
    <col min="12301" max="12309" width="9.109375" style="336" customWidth="1"/>
    <col min="12310" max="12542" width="8.88671875" style="336"/>
    <col min="12543" max="12543" width="46.33203125" style="336" bestFit="1" customWidth="1"/>
    <col min="12544" max="12544" width="9.6640625" style="336" bestFit="1" customWidth="1"/>
    <col min="12545" max="12555" width="9.109375" style="336" customWidth="1"/>
    <col min="12556" max="12556" width="17.44140625" style="336" customWidth="1"/>
    <col min="12557" max="12565" width="9.109375" style="336" customWidth="1"/>
    <col min="12566" max="12798" width="8.88671875" style="336"/>
    <col min="12799" max="12799" width="46.33203125" style="336" bestFit="1" customWidth="1"/>
    <col min="12800" max="12800" width="9.6640625" style="336" bestFit="1" customWidth="1"/>
    <col min="12801" max="12811" width="9.109375" style="336" customWidth="1"/>
    <col min="12812" max="12812" width="17.44140625" style="336" customWidth="1"/>
    <col min="12813" max="12821" width="9.109375" style="336" customWidth="1"/>
    <col min="12822" max="13054" width="8.88671875" style="336"/>
    <col min="13055" max="13055" width="46.33203125" style="336" bestFit="1" customWidth="1"/>
    <col min="13056" max="13056" width="9.6640625" style="336" bestFit="1" customWidth="1"/>
    <col min="13057" max="13067" width="9.109375" style="336" customWidth="1"/>
    <col min="13068" max="13068" width="17.44140625" style="336" customWidth="1"/>
    <col min="13069" max="13077" width="9.109375" style="336" customWidth="1"/>
    <col min="13078" max="13310" width="8.88671875" style="336"/>
    <col min="13311" max="13311" width="46.33203125" style="336" bestFit="1" customWidth="1"/>
    <col min="13312" max="13312" width="9.6640625" style="336" bestFit="1" customWidth="1"/>
    <col min="13313" max="13323" width="9.109375" style="336" customWidth="1"/>
    <col min="13324" max="13324" width="17.44140625" style="336" customWidth="1"/>
    <col min="13325" max="13333" width="9.109375" style="336" customWidth="1"/>
    <col min="13334" max="13566" width="8.88671875" style="336"/>
    <col min="13567" max="13567" width="46.33203125" style="336" bestFit="1" customWidth="1"/>
    <col min="13568" max="13568" width="9.6640625" style="336" bestFit="1" customWidth="1"/>
    <col min="13569" max="13579" width="9.109375" style="336" customWidth="1"/>
    <col min="13580" max="13580" width="17.44140625" style="336" customWidth="1"/>
    <col min="13581" max="13589" width="9.109375" style="336" customWidth="1"/>
    <col min="13590" max="13822" width="8.88671875" style="336"/>
    <col min="13823" max="13823" width="46.33203125" style="336" bestFit="1" customWidth="1"/>
    <col min="13824" max="13824" width="9.6640625" style="336" bestFit="1" customWidth="1"/>
    <col min="13825" max="13835" width="9.109375" style="336" customWidth="1"/>
    <col min="13836" max="13836" width="17.44140625" style="336" customWidth="1"/>
    <col min="13837" max="13845" width="9.109375" style="336" customWidth="1"/>
    <col min="13846" max="14078" width="8.88671875" style="336"/>
    <col min="14079" max="14079" width="46.33203125" style="336" bestFit="1" customWidth="1"/>
    <col min="14080" max="14080" width="9.6640625" style="336" bestFit="1" customWidth="1"/>
    <col min="14081" max="14091" width="9.109375" style="336" customWidth="1"/>
    <col min="14092" max="14092" width="17.44140625" style="336" customWidth="1"/>
    <col min="14093" max="14101" width="9.109375" style="336" customWidth="1"/>
    <col min="14102" max="14334" width="8.88671875" style="336"/>
    <col min="14335" max="14335" width="46.33203125" style="336" bestFit="1" customWidth="1"/>
    <col min="14336" max="14336" width="9.6640625" style="336" bestFit="1" customWidth="1"/>
    <col min="14337" max="14347" width="9.109375" style="336" customWidth="1"/>
    <col min="14348" max="14348" width="17.44140625" style="336" customWidth="1"/>
    <col min="14349" max="14357" width="9.109375" style="336" customWidth="1"/>
    <col min="14358" max="14590" width="8.88671875" style="336"/>
    <col min="14591" max="14591" width="46.33203125" style="336" bestFit="1" customWidth="1"/>
    <col min="14592" max="14592" width="9.6640625" style="336" bestFit="1" customWidth="1"/>
    <col min="14593" max="14603" width="9.109375" style="336" customWidth="1"/>
    <col min="14604" max="14604" width="17.44140625" style="336" customWidth="1"/>
    <col min="14605" max="14613" width="9.109375" style="336" customWidth="1"/>
    <col min="14614" max="14846" width="8.88671875" style="336"/>
    <col min="14847" max="14847" width="46.33203125" style="336" bestFit="1" customWidth="1"/>
    <col min="14848" max="14848" width="9.6640625" style="336" bestFit="1" customWidth="1"/>
    <col min="14849" max="14859" width="9.109375" style="336" customWidth="1"/>
    <col min="14860" max="14860" width="17.44140625" style="336" customWidth="1"/>
    <col min="14861" max="14869" width="9.109375" style="336" customWidth="1"/>
    <col min="14870" max="15102" width="8.88671875" style="336"/>
    <col min="15103" max="15103" width="46.33203125" style="336" bestFit="1" customWidth="1"/>
    <col min="15104" max="15104" width="9.6640625" style="336" bestFit="1" customWidth="1"/>
    <col min="15105" max="15115" width="9.109375" style="336" customWidth="1"/>
    <col min="15116" max="15116" width="17.44140625" style="336" customWidth="1"/>
    <col min="15117" max="15125" width="9.109375" style="336" customWidth="1"/>
    <col min="15126" max="15358" width="8.88671875" style="336"/>
    <col min="15359" max="15359" width="46.33203125" style="336" bestFit="1" customWidth="1"/>
    <col min="15360" max="15360" width="9.6640625" style="336" bestFit="1" customWidth="1"/>
    <col min="15361" max="15371" width="9.109375" style="336" customWidth="1"/>
    <col min="15372" max="15372" width="17.44140625" style="336" customWidth="1"/>
    <col min="15373" max="15381" width="9.109375" style="336" customWidth="1"/>
    <col min="15382" max="15614" width="8.88671875" style="336"/>
    <col min="15615" max="15615" width="46.33203125" style="336" bestFit="1" customWidth="1"/>
    <col min="15616" max="15616" width="9.6640625" style="336" bestFit="1" customWidth="1"/>
    <col min="15617" max="15627" width="9.109375" style="336" customWidth="1"/>
    <col min="15628" max="15628" width="17.44140625" style="336" customWidth="1"/>
    <col min="15629" max="15637" width="9.109375" style="336" customWidth="1"/>
    <col min="15638" max="15870" width="8.88671875" style="336"/>
    <col min="15871" max="15871" width="46.33203125" style="336" bestFit="1" customWidth="1"/>
    <col min="15872" max="15872" width="9.6640625" style="336" bestFit="1" customWidth="1"/>
    <col min="15873" max="15883" width="9.109375" style="336" customWidth="1"/>
    <col min="15884" max="15884" width="17.44140625" style="336" customWidth="1"/>
    <col min="15885" max="15893" width="9.109375" style="336" customWidth="1"/>
    <col min="15894" max="16126" width="8.88671875" style="336"/>
    <col min="16127" max="16127" width="46.33203125" style="336" bestFit="1" customWidth="1"/>
    <col min="16128" max="16128" width="9.6640625" style="336" bestFit="1" customWidth="1"/>
    <col min="16129" max="16139" width="9.109375" style="336" customWidth="1"/>
    <col min="16140" max="16140" width="17.44140625" style="336" customWidth="1"/>
    <col min="16141" max="16149" width="9.109375" style="336" customWidth="1"/>
    <col min="16150" max="16382" width="8.88671875" style="336"/>
    <col min="16383" max="16384" width="12.6640625" style="336" customWidth="1"/>
  </cols>
  <sheetData>
    <row r="1" spans="1:15" s="335" customFormat="1" ht="16.2">
      <c r="A1" s="642" t="s">
        <v>209</v>
      </c>
      <c r="B1" s="642"/>
      <c r="C1" s="643"/>
      <c r="D1" s="643"/>
      <c r="E1" s="643"/>
      <c r="F1" s="643"/>
      <c r="G1" s="643"/>
      <c r="H1" s="643"/>
      <c r="I1" s="643"/>
      <c r="J1" s="643"/>
      <c r="K1" s="643"/>
      <c r="L1" s="643"/>
      <c r="M1" s="643"/>
      <c r="N1" s="643"/>
      <c r="O1" s="643"/>
    </row>
    <row r="2" spans="1:15" s="335" customFormat="1" ht="15.6">
      <c r="A2" s="644" t="s">
        <v>216</v>
      </c>
      <c r="B2" s="644"/>
      <c r="C2" s="645"/>
      <c r="D2" s="645"/>
      <c r="E2" s="645"/>
      <c r="F2" s="645"/>
      <c r="G2" s="645"/>
      <c r="H2" s="645"/>
      <c r="I2" s="645"/>
      <c r="J2" s="645"/>
      <c r="K2" s="645"/>
      <c r="L2" s="645"/>
      <c r="M2" s="645"/>
      <c r="N2" s="645"/>
      <c r="O2" s="645"/>
    </row>
    <row r="3" spans="1:15" s="335" customFormat="1" ht="15.6">
      <c r="A3" s="646" t="str">
        <f>'Fund 0666'!A3:O3</f>
        <v>Data Through February 28, 2022</v>
      </c>
      <c r="B3" s="646"/>
      <c r="C3" s="647"/>
      <c r="D3" s="647"/>
      <c r="E3" s="647"/>
      <c r="F3" s="647"/>
      <c r="G3" s="647"/>
      <c r="H3" s="647"/>
      <c r="I3" s="647"/>
      <c r="J3" s="647"/>
      <c r="K3" s="647"/>
      <c r="L3" s="647"/>
      <c r="M3" s="647"/>
      <c r="N3" s="647"/>
      <c r="O3" s="647"/>
    </row>
    <row r="4" spans="1:15" s="335" customFormat="1">
      <c r="A4" s="325"/>
      <c r="B4" s="325"/>
      <c r="C4" s="321"/>
      <c r="D4" s="321"/>
      <c r="E4" s="321"/>
      <c r="F4" s="321"/>
      <c r="G4" s="321"/>
      <c r="H4" s="321"/>
      <c r="I4" s="326"/>
      <c r="J4" s="326"/>
      <c r="K4" s="326"/>
      <c r="L4" s="318"/>
      <c r="M4" s="318"/>
      <c r="N4" s="318"/>
      <c r="O4" s="318"/>
    </row>
    <row r="5" spans="1:15">
      <c r="A5" s="327"/>
      <c r="B5" s="327"/>
      <c r="C5" s="321"/>
      <c r="D5" s="321"/>
      <c r="E5" s="321"/>
      <c r="F5" s="321"/>
      <c r="G5" s="321"/>
      <c r="H5" s="321"/>
      <c r="I5" s="328"/>
      <c r="J5" s="328"/>
      <c r="K5" s="328"/>
      <c r="L5" s="321"/>
      <c r="M5" s="321"/>
      <c r="N5" s="321"/>
      <c r="O5" s="321"/>
    </row>
    <row r="6" spans="1:15" ht="15.6">
      <c r="A6" s="91"/>
      <c r="B6" s="91"/>
      <c r="C6" s="346"/>
      <c r="D6" s="346"/>
      <c r="E6" s="346"/>
      <c r="F6" s="346"/>
      <c r="G6" s="346"/>
      <c r="H6" s="346"/>
      <c r="I6" s="346"/>
      <c r="J6" s="346"/>
      <c r="K6" s="346"/>
      <c r="L6" s="346"/>
      <c r="M6" s="346"/>
      <c r="N6" s="346"/>
      <c r="O6" s="346" t="s">
        <v>558</v>
      </c>
    </row>
    <row r="7" spans="1:15" s="337" customFormat="1" ht="16.2" thickBot="1">
      <c r="A7" s="92"/>
      <c r="B7" s="92"/>
      <c r="C7" s="320" t="s">
        <v>527</v>
      </c>
      <c r="D7" s="320" t="s">
        <v>528</v>
      </c>
      <c r="E7" s="320" t="s">
        <v>529</v>
      </c>
      <c r="F7" s="320" t="s">
        <v>530</v>
      </c>
      <c r="G7" s="320" t="s">
        <v>531</v>
      </c>
      <c r="H7" s="320" t="s">
        <v>532</v>
      </c>
      <c r="I7" s="320" t="s">
        <v>533</v>
      </c>
      <c r="J7" s="320" t="s">
        <v>534</v>
      </c>
      <c r="K7" s="320" t="s">
        <v>535</v>
      </c>
      <c r="L7" s="320" t="s">
        <v>536</v>
      </c>
      <c r="M7" s="320" t="s">
        <v>537</v>
      </c>
      <c r="N7" s="320" t="s">
        <v>538</v>
      </c>
      <c r="O7" s="361" t="str">
        <f>'Fund 8093'!O7</f>
        <v>as of 02/28/22</v>
      </c>
    </row>
    <row r="8" spans="1:15" ht="16.2" thickTop="1">
      <c r="A8" s="91"/>
      <c r="B8" s="91"/>
      <c r="C8" s="85"/>
      <c r="D8" s="85"/>
      <c r="E8" s="85"/>
      <c r="F8" s="85"/>
      <c r="G8" s="85"/>
      <c r="H8" s="85"/>
      <c r="I8" s="93"/>
      <c r="J8" s="94"/>
      <c r="K8" s="94"/>
      <c r="L8" s="85"/>
      <c r="M8" s="85"/>
      <c r="N8" s="85"/>
      <c r="O8" s="85"/>
    </row>
    <row r="9" spans="1:15" ht="16.2" thickBot="1">
      <c r="A9" s="340" t="s">
        <v>212</v>
      </c>
      <c r="B9" s="351"/>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2" t="s">
        <v>208</v>
      </c>
      <c r="B11" s="362"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4" t="s">
        <v>360</v>
      </c>
      <c r="C13" s="85">
        <v>286</v>
      </c>
      <c r="D13" s="85">
        <v>199.82</v>
      </c>
      <c r="E13" s="85">
        <v>480.33</v>
      </c>
      <c r="F13" s="422">
        <v>467.5</v>
      </c>
      <c r="G13" s="423">
        <v>504.16</v>
      </c>
      <c r="H13" s="422">
        <v>274.98</v>
      </c>
      <c r="I13" s="85"/>
      <c r="J13" s="85"/>
      <c r="K13" s="85"/>
      <c r="L13" s="85"/>
      <c r="M13" s="85"/>
      <c r="N13" s="85"/>
      <c r="O13" s="103">
        <f t="shared" ref="O13" si="1">ROUND(SUM(C13:N13),0)</f>
        <v>2213</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3" t="s">
        <v>207</v>
      </c>
      <c r="B16" s="363"/>
      <c r="C16" s="88">
        <f>SUM(C8:C15)</f>
        <v>286</v>
      </c>
      <c r="D16" s="88">
        <f t="shared" ref="D16:L16" si="2">SUM(D8:D15)</f>
        <v>199.82</v>
      </c>
      <c r="E16" s="88">
        <f t="shared" si="2"/>
        <v>480.33</v>
      </c>
      <c r="F16" s="88">
        <f t="shared" si="2"/>
        <v>467.5</v>
      </c>
      <c r="G16" s="88">
        <f t="shared" si="2"/>
        <v>504.16</v>
      </c>
      <c r="H16" s="88">
        <f t="shared" si="2"/>
        <v>274.98</v>
      </c>
      <c r="I16" s="88">
        <f t="shared" si="2"/>
        <v>0</v>
      </c>
      <c r="J16" s="88">
        <f t="shared" si="2"/>
        <v>0</v>
      </c>
      <c r="K16" s="88">
        <f t="shared" si="2"/>
        <v>0</v>
      </c>
      <c r="L16" s="88">
        <f t="shared" si="2"/>
        <v>0</v>
      </c>
      <c r="M16" s="88">
        <f>ROUND((SUM(M8:M15)),0)</f>
        <v>0</v>
      </c>
      <c r="N16" s="88">
        <f>ROUND((SUM(N8:N15)),0)</f>
        <v>0</v>
      </c>
      <c r="O16" s="88">
        <f>SUM(C16:N16)</f>
        <v>2212.79</v>
      </c>
    </row>
    <row r="17" spans="1:15" ht="15.6">
      <c r="A17" s="91"/>
      <c r="B17" s="91"/>
      <c r="C17" s="85"/>
      <c r="D17" s="85"/>
      <c r="E17" s="85"/>
      <c r="F17" s="85"/>
      <c r="G17" s="85"/>
      <c r="H17" s="85"/>
      <c r="I17" s="98"/>
      <c r="J17" s="98"/>
      <c r="K17" s="98"/>
      <c r="L17" s="85"/>
      <c r="M17" s="85"/>
      <c r="N17" s="85"/>
      <c r="O17" s="85"/>
    </row>
    <row r="18" spans="1:15" ht="15.6">
      <c r="A18" s="362" t="s">
        <v>206</v>
      </c>
      <c r="B18" s="362"/>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-504.16</v>
      </c>
      <c r="H20" s="85">
        <f t="shared" si="3"/>
        <v>-274.98</v>
      </c>
      <c r="I20" s="85">
        <f t="shared" si="3"/>
        <v>0</v>
      </c>
      <c r="J20" s="85">
        <f t="shared" si="3"/>
        <v>0</v>
      </c>
      <c r="K20" s="85">
        <f t="shared" si="3"/>
        <v>0</v>
      </c>
      <c r="L20" s="85">
        <f t="shared" si="3"/>
        <v>0</v>
      </c>
      <c r="M20" s="85">
        <f>ROUND(-M16,0)</f>
        <v>0</v>
      </c>
      <c r="N20" s="85">
        <f>ROUND(-N16,0)</f>
        <v>0</v>
      </c>
      <c r="O20" s="85">
        <f>ROUND(SUM(C20:N20),0)</f>
        <v>-2213</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2" t="s">
        <v>205</v>
      </c>
      <c r="B23" s="362"/>
      <c r="C23" s="88">
        <f>SUM(C19:C22)</f>
        <v>-286</v>
      </c>
      <c r="D23" s="88">
        <f t="shared" ref="D23:M23" si="4">SUM(D19:D22)</f>
        <v>-199.82</v>
      </c>
      <c r="E23" s="88">
        <f t="shared" si="4"/>
        <v>-480.33</v>
      </c>
      <c r="F23" s="88">
        <f t="shared" si="4"/>
        <v>-467.5</v>
      </c>
      <c r="G23" s="88">
        <f t="shared" si="4"/>
        <v>-504.16</v>
      </c>
      <c r="H23" s="88">
        <f t="shared" si="4"/>
        <v>-274.98</v>
      </c>
      <c r="I23" s="88">
        <f t="shared" si="4"/>
        <v>0</v>
      </c>
      <c r="J23" s="88">
        <f t="shared" si="4"/>
        <v>0</v>
      </c>
      <c r="K23" s="88">
        <f t="shared" si="4"/>
        <v>0</v>
      </c>
      <c r="L23" s="88">
        <f t="shared" si="4"/>
        <v>0</v>
      </c>
      <c r="M23" s="88">
        <f t="shared" si="4"/>
        <v>0</v>
      </c>
      <c r="N23" s="88">
        <f>SUM(N19:N22)</f>
        <v>0</v>
      </c>
      <c r="O23" s="88">
        <f>SUM(O19:O22)</f>
        <v>-2213</v>
      </c>
    </row>
    <row r="24" spans="1:15" ht="15.6">
      <c r="A24" s="91"/>
      <c r="B24" s="91"/>
      <c r="C24" s="85"/>
      <c r="D24" s="85"/>
      <c r="E24" s="85"/>
      <c r="F24" s="85"/>
      <c r="G24" s="85"/>
      <c r="H24" s="85"/>
      <c r="I24" s="98"/>
      <c r="J24" s="98"/>
      <c r="K24" s="98"/>
      <c r="L24" s="85"/>
      <c r="M24" s="85"/>
      <c r="N24" s="85"/>
      <c r="O24" s="85"/>
    </row>
    <row r="25" spans="1:15" ht="16.2" thickBot="1">
      <c r="A25" s="340" t="s">
        <v>204</v>
      </c>
      <c r="B25" s="340"/>
      <c r="C25" s="343">
        <f>+C9+C16+C23</f>
        <v>0</v>
      </c>
      <c r="D25" s="343">
        <f t="shared" ref="D25:N25" si="5">+D9+D16+D23</f>
        <v>0</v>
      </c>
      <c r="E25" s="343">
        <f t="shared" si="5"/>
        <v>0</v>
      </c>
      <c r="F25" s="343">
        <f t="shared" si="5"/>
        <v>0</v>
      </c>
      <c r="G25" s="343">
        <f t="shared" si="5"/>
        <v>0</v>
      </c>
      <c r="H25" s="343">
        <f t="shared" si="5"/>
        <v>0</v>
      </c>
      <c r="I25" s="343">
        <f t="shared" si="5"/>
        <v>0</v>
      </c>
      <c r="J25" s="343">
        <f t="shared" si="5"/>
        <v>0</v>
      </c>
      <c r="K25" s="343">
        <f t="shared" si="5"/>
        <v>0</v>
      </c>
      <c r="L25" s="343">
        <f t="shared" si="5"/>
        <v>0</v>
      </c>
      <c r="M25" s="343">
        <f t="shared" si="5"/>
        <v>0</v>
      </c>
      <c r="N25" s="343">
        <f t="shared" si="5"/>
        <v>0</v>
      </c>
      <c r="O25" s="343">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O16" sqref="O16"/>
    </sheetView>
  </sheetViews>
  <sheetFormatPr defaultRowHeight="13.2"/>
  <cols>
    <col min="1" max="1" width="64.6640625" style="329" bestFit="1" customWidth="1"/>
    <col min="2" max="2" width="17.109375" style="329" bestFit="1" customWidth="1"/>
    <col min="3" max="3" width="11.33203125" style="319" hidden="1" customWidth="1"/>
    <col min="4" max="4" width="11.44140625" style="319" hidden="1" customWidth="1"/>
    <col min="5" max="6" width="11.6640625" style="319" hidden="1" customWidth="1"/>
    <col min="7" max="7" width="11.33203125" style="319" hidden="1" customWidth="1"/>
    <col min="8" max="8" width="11.6640625" style="319" customWidth="1"/>
    <col min="9" max="9" width="12.109375" style="319" hidden="1" customWidth="1"/>
    <col min="10" max="10" width="11.6640625" style="319" hidden="1" customWidth="1"/>
    <col min="11" max="11" width="12.109375" style="319" hidden="1" customWidth="1"/>
    <col min="12" max="12" width="11.44140625" style="319" hidden="1" customWidth="1"/>
    <col min="13" max="13" width="11.109375" style="319" hidden="1" customWidth="1"/>
    <col min="14" max="14" width="11.6640625" style="319" hidden="1" customWidth="1"/>
    <col min="15" max="15" width="16.109375" style="319" bestFit="1" customWidth="1"/>
    <col min="16" max="16" width="22.33203125" style="329" customWidth="1"/>
    <col min="17" max="17" width="22.33203125" style="330" customWidth="1"/>
    <col min="18" max="18" width="22.33203125" style="329" customWidth="1"/>
    <col min="19" max="20" width="9.33203125" style="329" customWidth="1"/>
    <col min="21" max="21" width="12.6640625" style="329" customWidth="1"/>
    <col min="22" max="22" width="10.44140625" style="329" customWidth="1"/>
    <col min="23" max="254" width="8.88671875" style="329"/>
    <col min="255" max="255" width="63.5546875" style="329" bestFit="1" customWidth="1"/>
    <col min="256" max="256" width="10.6640625" style="329" bestFit="1" customWidth="1"/>
    <col min="257" max="267" width="9.109375" style="329" customWidth="1"/>
    <col min="268" max="268" width="14.88671875" style="329" bestFit="1" customWidth="1"/>
    <col min="269" max="277" width="9.109375" style="329" customWidth="1"/>
    <col min="278" max="278" width="10.44140625" style="329" customWidth="1"/>
    <col min="279" max="510" width="8.88671875" style="329"/>
    <col min="511" max="511" width="63.5546875" style="329" bestFit="1" customWidth="1"/>
    <col min="512" max="512" width="10.6640625" style="329" bestFit="1" customWidth="1"/>
    <col min="513" max="523" width="9.109375" style="329" customWidth="1"/>
    <col min="524" max="524" width="14.88671875" style="329" bestFit="1" customWidth="1"/>
    <col min="525" max="533" width="9.109375" style="329" customWidth="1"/>
    <col min="534" max="534" width="10.44140625" style="329" customWidth="1"/>
    <col min="535" max="766" width="8.88671875" style="329"/>
    <col min="767" max="767" width="63.5546875" style="329" bestFit="1" customWidth="1"/>
    <col min="768" max="768" width="10.6640625" style="329" bestFit="1" customWidth="1"/>
    <col min="769" max="779" width="9.109375" style="329" customWidth="1"/>
    <col min="780" max="780" width="14.88671875" style="329" bestFit="1" customWidth="1"/>
    <col min="781" max="789" width="9.109375" style="329" customWidth="1"/>
    <col min="790" max="790" width="10.44140625" style="329" customWidth="1"/>
    <col min="791" max="1022" width="8.88671875" style="329"/>
    <col min="1023" max="1023" width="63.5546875" style="329" bestFit="1" customWidth="1"/>
    <col min="1024" max="1024" width="10.6640625" style="329" bestFit="1" customWidth="1"/>
    <col min="1025" max="1035" width="9.109375" style="329" customWidth="1"/>
    <col min="1036" max="1036" width="14.88671875" style="329" bestFit="1" customWidth="1"/>
    <col min="1037" max="1045" width="9.109375" style="329" customWidth="1"/>
    <col min="1046" max="1046" width="10.44140625" style="329" customWidth="1"/>
    <col min="1047" max="1278" width="8.88671875" style="329"/>
    <col min="1279" max="1279" width="63.5546875" style="329" bestFit="1" customWidth="1"/>
    <col min="1280" max="1280" width="10.6640625" style="329" bestFit="1" customWidth="1"/>
    <col min="1281" max="1291" width="9.109375" style="329" customWidth="1"/>
    <col min="1292" max="1292" width="14.88671875" style="329" bestFit="1" customWidth="1"/>
    <col min="1293" max="1301" width="9.109375" style="329" customWidth="1"/>
    <col min="1302" max="1302" width="10.44140625" style="329" customWidth="1"/>
    <col min="1303" max="1534" width="8.88671875" style="329"/>
    <col min="1535" max="1535" width="63.5546875" style="329" bestFit="1" customWidth="1"/>
    <col min="1536" max="1536" width="10.6640625" style="329" bestFit="1" customWidth="1"/>
    <col min="1537" max="1547" width="9.109375" style="329" customWidth="1"/>
    <col min="1548" max="1548" width="14.88671875" style="329" bestFit="1" customWidth="1"/>
    <col min="1549" max="1557" width="9.109375" style="329" customWidth="1"/>
    <col min="1558" max="1558" width="10.44140625" style="329" customWidth="1"/>
    <col min="1559" max="1790" width="8.88671875" style="329"/>
    <col min="1791" max="1791" width="63.5546875" style="329" bestFit="1" customWidth="1"/>
    <col min="1792" max="1792" width="10.6640625" style="329" bestFit="1" customWidth="1"/>
    <col min="1793" max="1803" width="9.109375" style="329" customWidth="1"/>
    <col min="1804" max="1804" width="14.88671875" style="329" bestFit="1" customWidth="1"/>
    <col min="1805" max="1813" width="9.109375" style="329" customWidth="1"/>
    <col min="1814" max="1814" width="10.44140625" style="329" customWidth="1"/>
    <col min="1815" max="2046" width="8.88671875" style="329"/>
    <col min="2047" max="2047" width="63.5546875" style="329" bestFit="1" customWidth="1"/>
    <col min="2048" max="2048" width="10.6640625" style="329" bestFit="1" customWidth="1"/>
    <col min="2049" max="2059" width="9.109375" style="329" customWidth="1"/>
    <col min="2060" max="2060" width="14.88671875" style="329" bestFit="1" customWidth="1"/>
    <col min="2061" max="2069" width="9.109375" style="329" customWidth="1"/>
    <col min="2070" max="2070" width="10.44140625" style="329" customWidth="1"/>
    <col min="2071" max="2302" width="8.88671875" style="329"/>
    <col min="2303" max="2303" width="63.5546875" style="329" bestFit="1" customWidth="1"/>
    <col min="2304" max="2304" width="10.6640625" style="329" bestFit="1" customWidth="1"/>
    <col min="2305" max="2315" width="9.109375" style="329" customWidth="1"/>
    <col min="2316" max="2316" width="14.88671875" style="329" bestFit="1" customWidth="1"/>
    <col min="2317" max="2325" width="9.109375" style="329" customWidth="1"/>
    <col min="2326" max="2326" width="10.44140625" style="329" customWidth="1"/>
    <col min="2327" max="2558" width="8.88671875" style="329"/>
    <col min="2559" max="2559" width="63.5546875" style="329" bestFit="1" customWidth="1"/>
    <col min="2560" max="2560" width="10.6640625" style="329" bestFit="1" customWidth="1"/>
    <col min="2561" max="2571" width="9.109375" style="329" customWidth="1"/>
    <col min="2572" max="2572" width="14.88671875" style="329" bestFit="1" customWidth="1"/>
    <col min="2573" max="2581" width="9.109375" style="329" customWidth="1"/>
    <col min="2582" max="2582" width="10.44140625" style="329" customWidth="1"/>
    <col min="2583" max="2814" width="8.88671875" style="329"/>
    <col min="2815" max="2815" width="63.5546875" style="329" bestFit="1" customWidth="1"/>
    <col min="2816" max="2816" width="10.6640625" style="329" bestFit="1" customWidth="1"/>
    <col min="2817" max="2827" width="9.109375" style="329" customWidth="1"/>
    <col min="2828" max="2828" width="14.88671875" style="329" bestFit="1" customWidth="1"/>
    <col min="2829" max="2837" width="9.109375" style="329" customWidth="1"/>
    <col min="2838" max="2838" width="10.44140625" style="329" customWidth="1"/>
    <col min="2839" max="3070" width="8.88671875" style="329"/>
    <col min="3071" max="3071" width="63.5546875" style="329" bestFit="1" customWidth="1"/>
    <col min="3072" max="3072" width="10.6640625" style="329" bestFit="1" customWidth="1"/>
    <col min="3073" max="3083" width="9.109375" style="329" customWidth="1"/>
    <col min="3084" max="3084" width="14.88671875" style="329" bestFit="1" customWidth="1"/>
    <col min="3085" max="3093" width="9.109375" style="329" customWidth="1"/>
    <col min="3094" max="3094" width="10.44140625" style="329" customWidth="1"/>
    <col min="3095" max="3326" width="8.88671875" style="329"/>
    <col min="3327" max="3327" width="63.5546875" style="329" bestFit="1" customWidth="1"/>
    <col min="3328" max="3328" width="10.6640625" style="329" bestFit="1" customWidth="1"/>
    <col min="3329" max="3339" width="9.109375" style="329" customWidth="1"/>
    <col min="3340" max="3340" width="14.88671875" style="329" bestFit="1" customWidth="1"/>
    <col min="3341" max="3349" width="9.109375" style="329" customWidth="1"/>
    <col min="3350" max="3350" width="10.44140625" style="329" customWidth="1"/>
    <col min="3351" max="3582" width="8.88671875" style="329"/>
    <col min="3583" max="3583" width="63.5546875" style="329" bestFit="1" customWidth="1"/>
    <col min="3584" max="3584" width="10.6640625" style="329" bestFit="1" customWidth="1"/>
    <col min="3585" max="3595" width="9.109375" style="329" customWidth="1"/>
    <col min="3596" max="3596" width="14.88671875" style="329" bestFit="1" customWidth="1"/>
    <col min="3597" max="3605" width="9.109375" style="329" customWidth="1"/>
    <col min="3606" max="3606" width="10.44140625" style="329" customWidth="1"/>
    <col min="3607" max="3838" width="8.88671875" style="329"/>
    <col min="3839" max="3839" width="63.5546875" style="329" bestFit="1" customWidth="1"/>
    <col min="3840" max="3840" width="10.6640625" style="329" bestFit="1" customWidth="1"/>
    <col min="3841" max="3851" width="9.109375" style="329" customWidth="1"/>
    <col min="3852" max="3852" width="14.88671875" style="329" bestFit="1" customWidth="1"/>
    <col min="3853" max="3861" width="9.109375" style="329" customWidth="1"/>
    <col min="3862" max="3862" width="10.44140625" style="329" customWidth="1"/>
    <col min="3863" max="4094" width="8.88671875" style="329"/>
    <col min="4095" max="4095" width="63.5546875" style="329" bestFit="1" customWidth="1"/>
    <col min="4096" max="4096" width="10.6640625" style="329" bestFit="1" customWidth="1"/>
    <col min="4097" max="4107" width="9.109375" style="329" customWidth="1"/>
    <col min="4108" max="4108" width="14.88671875" style="329" bestFit="1" customWidth="1"/>
    <col min="4109" max="4117" width="9.109375" style="329" customWidth="1"/>
    <col min="4118" max="4118" width="10.44140625" style="329" customWidth="1"/>
    <col min="4119" max="4350" width="8.88671875" style="329"/>
    <col min="4351" max="4351" width="63.5546875" style="329" bestFit="1" customWidth="1"/>
    <col min="4352" max="4352" width="10.6640625" style="329" bestFit="1" customWidth="1"/>
    <col min="4353" max="4363" width="9.109375" style="329" customWidth="1"/>
    <col min="4364" max="4364" width="14.88671875" style="329" bestFit="1" customWidth="1"/>
    <col min="4365" max="4373" width="9.109375" style="329" customWidth="1"/>
    <col min="4374" max="4374" width="10.44140625" style="329" customWidth="1"/>
    <col min="4375" max="4606" width="8.88671875" style="329"/>
    <col min="4607" max="4607" width="63.5546875" style="329" bestFit="1" customWidth="1"/>
    <col min="4608" max="4608" width="10.6640625" style="329" bestFit="1" customWidth="1"/>
    <col min="4609" max="4619" width="9.109375" style="329" customWidth="1"/>
    <col min="4620" max="4620" width="14.88671875" style="329" bestFit="1" customWidth="1"/>
    <col min="4621" max="4629" width="9.109375" style="329" customWidth="1"/>
    <col min="4630" max="4630" width="10.44140625" style="329" customWidth="1"/>
    <col min="4631" max="4862" width="8.88671875" style="329"/>
    <col min="4863" max="4863" width="63.5546875" style="329" bestFit="1" customWidth="1"/>
    <col min="4864" max="4864" width="10.6640625" style="329" bestFit="1" customWidth="1"/>
    <col min="4865" max="4875" width="9.109375" style="329" customWidth="1"/>
    <col min="4876" max="4876" width="14.88671875" style="329" bestFit="1" customWidth="1"/>
    <col min="4877" max="4885" width="9.109375" style="329" customWidth="1"/>
    <col min="4886" max="4886" width="10.44140625" style="329" customWidth="1"/>
    <col min="4887" max="5118" width="8.88671875" style="329"/>
    <col min="5119" max="5119" width="63.5546875" style="329" bestFit="1" customWidth="1"/>
    <col min="5120" max="5120" width="10.6640625" style="329" bestFit="1" customWidth="1"/>
    <col min="5121" max="5131" width="9.109375" style="329" customWidth="1"/>
    <col min="5132" max="5132" width="14.88671875" style="329" bestFit="1" customWidth="1"/>
    <col min="5133" max="5141" width="9.109375" style="329" customWidth="1"/>
    <col min="5142" max="5142" width="10.44140625" style="329" customWidth="1"/>
    <col min="5143" max="5374" width="8.88671875" style="329"/>
    <col min="5375" max="5375" width="63.5546875" style="329" bestFit="1" customWidth="1"/>
    <col min="5376" max="5376" width="10.6640625" style="329" bestFit="1" customWidth="1"/>
    <col min="5377" max="5387" width="9.109375" style="329" customWidth="1"/>
    <col min="5388" max="5388" width="14.88671875" style="329" bestFit="1" customWidth="1"/>
    <col min="5389" max="5397" width="9.109375" style="329" customWidth="1"/>
    <col min="5398" max="5398" width="10.44140625" style="329" customWidth="1"/>
    <col min="5399" max="5630" width="8.88671875" style="329"/>
    <col min="5631" max="5631" width="63.5546875" style="329" bestFit="1" customWidth="1"/>
    <col min="5632" max="5632" width="10.6640625" style="329" bestFit="1" customWidth="1"/>
    <col min="5633" max="5643" width="9.109375" style="329" customWidth="1"/>
    <col min="5644" max="5644" width="14.88671875" style="329" bestFit="1" customWidth="1"/>
    <col min="5645" max="5653" width="9.109375" style="329" customWidth="1"/>
    <col min="5654" max="5654" width="10.44140625" style="329" customWidth="1"/>
    <col min="5655" max="5886" width="8.88671875" style="329"/>
    <col min="5887" max="5887" width="63.5546875" style="329" bestFit="1" customWidth="1"/>
    <col min="5888" max="5888" width="10.6640625" style="329" bestFit="1" customWidth="1"/>
    <col min="5889" max="5899" width="9.109375" style="329" customWidth="1"/>
    <col min="5900" max="5900" width="14.88671875" style="329" bestFit="1" customWidth="1"/>
    <col min="5901" max="5909" width="9.109375" style="329" customWidth="1"/>
    <col min="5910" max="5910" width="10.44140625" style="329" customWidth="1"/>
    <col min="5911" max="6142" width="8.88671875" style="329"/>
    <col min="6143" max="6143" width="63.5546875" style="329" bestFit="1" customWidth="1"/>
    <col min="6144" max="6144" width="10.6640625" style="329" bestFit="1" customWidth="1"/>
    <col min="6145" max="6155" width="9.109375" style="329" customWidth="1"/>
    <col min="6156" max="6156" width="14.88671875" style="329" bestFit="1" customWidth="1"/>
    <col min="6157" max="6165" width="9.109375" style="329" customWidth="1"/>
    <col min="6166" max="6166" width="10.44140625" style="329" customWidth="1"/>
    <col min="6167" max="6398" width="8.88671875" style="329"/>
    <col min="6399" max="6399" width="63.5546875" style="329" bestFit="1" customWidth="1"/>
    <col min="6400" max="6400" width="10.6640625" style="329" bestFit="1" customWidth="1"/>
    <col min="6401" max="6411" width="9.109375" style="329" customWidth="1"/>
    <col min="6412" max="6412" width="14.88671875" style="329" bestFit="1" customWidth="1"/>
    <col min="6413" max="6421" width="9.109375" style="329" customWidth="1"/>
    <col min="6422" max="6422" width="10.44140625" style="329" customWidth="1"/>
    <col min="6423" max="6654" width="8.88671875" style="329"/>
    <col min="6655" max="6655" width="63.5546875" style="329" bestFit="1" customWidth="1"/>
    <col min="6656" max="6656" width="10.6640625" style="329" bestFit="1" customWidth="1"/>
    <col min="6657" max="6667" width="9.109375" style="329" customWidth="1"/>
    <col min="6668" max="6668" width="14.88671875" style="329" bestFit="1" customWidth="1"/>
    <col min="6669" max="6677" width="9.109375" style="329" customWidth="1"/>
    <col min="6678" max="6678" width="10.44140625" style="329" customWidth="1"/>
    <col min="6679" max="6910" width="8.88671875" style="329"/>
    <col min="6911" max="6911" width="63.5546875" style="329" bestFit="1" customWidth="1"/>
    <col min="6912" max="6912" width="10.6640625" style="329" bestFit="1" customWidth="1"/>
    <col min="6913" max="6923" width="9.109375" style="329" customWidth="1"/>
    <col min="6924" max="6924" width="14.88671875" style="329" bestFit="1" customWidth="1"/>
    <col min="6925" max="6933" width="9.109375" style="329" customWidth="1"/>
    <col min="6934" max="6934" width="10.44140625" style="329" customWidth="1"/>
    <col min="6935" max="7166" width="8.88671875" style="329"/>
    <col min="7167" max="7167" width="63.5546875" style="329" bestFit="1" customWidth="1"/>
    <col min="7168" max="7168" width="10.6640625" style="329" bestFit="1" customWidth="1"/>
    <col min="7169" max="7179" width="9.109375" style="329" customWidth="1"/>
    <col min="7180" max="7180" width="14.88671875" style="329" bestFit="1" customWidth="1"/>
    <col min="7181" max="7189" width="9.109375" style="329" customWidth="1"/>
    <col min="7190" max="7190" width="10.44140625" style="329" customWidth="1"/>
    <col min="7191" max="7422" width="8.88671875" style="329"/>
    <col min="7423" max="7423" width="63.5546875" style="329" bestFit="1" customWidth="1"/>
    <col min="7424" max="7424" width="10.6640625" style="329" bestFit="1" customWidth="1"/>
    <col min="7425" max="7435" width="9.109375" style="329" customWidth="1"/>
    <col min="7436" max="7436" width="14.88671875" style="329" bestFit="1" customWidth="1"/>
    <col min="7437" max="7445" width="9.109375" style="329" customWidth="1"/>
    <col min="7446" max="7446" width="10.44140625" style="329" customWidth="1"/>
    <col min="7447" max="7678" width="8.88671875" style="329"/>
    <col min="7679" max="7679" width="63.5546875" style="329" bestFit="1" customWidth="1"/>
    <col min="7680" max="7680" width="10.6640625" style="329" bestFit="1" customWidth="1"/>
    <col min="7681" max="7691" width="9.109375" style="329" customWidth="1"/>
    <col min="7692" max="7692" width="14.88671875" style="329" bestFit="1" customWidth="1"/>
    <col min="7693" max="7701" width="9.109375" style="329" customWidth="1"/>
    <col min="7702" max="7702" width="10.44140625" style="329" customWidth="1"/>
    <col min="7703" max="7934" width="8.88671875" style="329"/>
    <col min="7935" max="7935" width="63.5546875" style="329" bestFit="1" customWidth="1"/>
    <col min="7936" max="7936" width="10.6640625" style="329" bestFit="1" customWidth="1"/>
    <col min="7937" max="7947" width="9.109375" style="329" customWidth="1"/>
    <col min="7948" max="7948" width="14.88671875" style="329" bestFit="1" customWidth="1"/>
    <col min="7949" max="7957" width="9.109375" style="329" customWidth="1"/>
    <col min="7958" max="7958" width="10.44140625" style="329" customWidth="1"/>
    <col min="7959" max="8190" width="8.88671875" style="329"/>
    <col min="8191" max="8191" width="63.5546875" style="329" bestFit="1" customWidth="1"/>
    <col min="8192" max="8192" width="10.6640625" style="329" bestFit="1" customWidth="1"/>
    <col min="8193" max="8203" width="9.109375" style="329" customWidth="1"/>
    <col min="8204" max="8204" width="14.88671875" style="329" bestFit="1" customWidth="1"/>
    <col min="8205" max="8213" width="9.109375" style="329" customWidth="1"/>
    <col min="8214" max="8214" width="10.44140625" style="329" customWidth="1"/>
    <col min="8215" max="8446" width="8.88671875" style="329"/>
    <col min="8447" max="8447" width="63.5546875" style="329" bestFit="1" customWidth="1"/>
    <col min="8448" max="8448" width="10.6640625" style="329" bestFit="1" customWidth="1"/>
    <col min="8449" max="8459" width="9.109375" style="329" customWidth="1"/>
    <col min="8460" max="8460" width="14.88671875" style="329" bestFit="1" customWidth="1"/>
    <col min="8461" max="8469" width="9.109375" style="329" customWidth="1"/>
    <col min="8470" max="8470" width="10.44140625" style="329" customWidth="1"/>
    <col min="8471" max="8702" width="8.88671875" style="329"/>
    <col min="8703" max="8703" width="63.5546875" style="329" bestFit="1" customWidth="1"/>
    <col min="8704" max="8704" width="10.6640625" style="329" bestFit="1" customWidth="1"/>
    <col min="8705" max="8715" width="9.109375" style="329" customWidth="1"/>
    <col min="8716" max="8716" width="14.88671875" style="329" bestFit="1" customWidth="1"/>
    <col min="8717" max="8725" width="9.109375" style="329" customWidth="1"/>
    <col min="8726" max="8726" width="10.44140625" style="329" customWidth="1"/>
    <col min="8727" max="8958" width="8.88671875" style="329"/>
    <col min="8959" max="8959" width="63.5546875" style="329" bestFit="1" customWidth="1"/>
    <col min="8960" max="8960" width="10.6640625" style="329" bestFit="1" customWidth="1"/>
    <col min="8961" max="8971" width="9.109375" style="329" customWidth="1"/>
    <col min="8972" max="8972" width="14.88671875" style="329" bestFit="1" customWidth="1"/>
    <col min="8973" max="8981" width="9.109375" style="329" customWidth="1"/>
    <col min="8982" max="8982" width="10.44140625" style="329" customWidth="1"/>
    <col min="8983" max="9214" width="8.88671875" style="329"/>
    <col min="9215" max="9215" width="63.5546875" style="329" bestFit="1" customWidth="1"/>
    <col min="9216" max="9216" width="10.6640625" style="329" bestFit="1" customWidth="1"/>
    <col min="9217" max="9227" width="9.109375" style="329" customWidth="1"/>
    <col min="9228" max="9228" width="14.88671875" style="329" bestFit="1" customWidth="1"/>
    <col min="9229" max="9237" width="9.109375" style="329" customWidth="1"/>
    <col min="9238" max="9238" width="10.44140625" style="329" customWidth="1"/>
    <col min="9239" max="9470" width="8.88671875" style="329"/>
    <col min="9471" max="9471" width="63.5546875" style="329" bestFit="1" customWidth="1"/>
    <col min="9472" max="9472" width="10.6640625" style="329" bestFit="1" customWidth="1"/>
    <col min="9473" max="9483" width="9.109375" style="329" customWidth="1"/>
    <col min="9484" max="9484" width="14.88671875" style="329" bestFit="1" customWidth="1"/>
    <col min="9485" max="9493" width="9.109375" style="329" customWidth="1"/>
    <col min="9494" max="9494" width="10.44140625" style="329" customWidth="1"/>
    <col min="9495" max="9726" width="8.88671875" style="329"/>
    <col min="9727" max="9727" width="63.5546875" style="329" bestFit="1" customWidth="1"/>
    <col min="9728" max="9728" width="10.6640625" style="329" bestFit="1" customWidth="1"/>
    <col min="9729" max="9739" width="9.109375" style="329" customWidth="1"/>
    <col min="9740" max="9740" width="14.88671875" style="329" bestFit="1" customWidth="1"/>
    <col min="9741" max="9749" width="9.109375" style="329" customWidth="1"/>
    <col min="9750" max="9750" width="10.44140625" style="329" customWidth="1"/>
    <col min="9751" max="9982" width="8.88671875" style="329"/>
    <col min="9983" max="9983" width="63.5546875" style="329" bestFit="1" customWidth="1"/>
    <col min="9984" max="9984" width="10.6640625" style="329" bestFit="1" customWidth="1"/>
    <col min="9985" max="9995" width="9.109375" style="329" customWidth="1"/>
    <col min="9996" max="9996" width="14.88671875" style="329" bestFit="1" customWidth="1"/>
    <col min="9997" max="10005" width="9.109375" style="329" customWidth="1"/>
    <col min="10006" max="10006" width="10.44140625" style="329" customWidth="1"/>
    <col min="10007" max="10238" width="8.88671875" style="329"/>
    <col min="10239" max="10239" width="63.5546875" style="329" bestFit="1" customWidth="1"/>
    <col min="10240" max="10240" width="10.6640625" style="329" bestFit="1" customWidth="1"/>
    <col min="10241" max="10251" width="9.109375" style="329" customWidth="1"/>
    <col min="10252" max="10252" width="14.88671875" style="329" bestFit="1" customWidth="1"/>
    <col min="10253" max="10261" width="9.109375" style="329" customWidth="1"/>
    <col min="10262" max="10262" width="10.44140625" style="329" customWidth="1"/>
    <col min="10263" max="10494" width="8.88671875" style="329"/>
    <col min="10495" max="10495" width="63.5546875" style="329" bestFit="1" customWidth="1"/>
    <col min="10496" max="10496" width="10.6640625" style="329" bestFit="1" customWidth="1"/>
    <col min="10497" max="10507" width="9.109375" style="329" customWidth="1"/>
    <col min="10508" max="10508" width="14.88671875" style="329" bestFit="1" customWidth="1"/>
    <col min="10509" max="10517" width="9.109375" style="329" customWidth="1"/>
    <col min="10518" max="10518" width="10.44140625" style="329" customWidth="1"/>
    <col min="10519" max="10750" width="8.88671875" style="329"/>
    <col min="10751" max="10751" width="63.5546875" style="329" bestFit="1" customWidth="1"/>
    <col min="10752" max="10752" width="10.6640625" style="329" bestFit="1" customWidth="1"/>
    <col min="10753" max="10763" width="9.109375" style="329" customWidth="1"/>
    <col min="10764" max="10764" width="14.88671875" style="329" bestFit="1" customWidth="1"/>
    <col min="10765" max="10773" width="9.109375" style="329" customWidth="1"/>
    <col min="10774" max="10774" width="10.44140625" style="329" customWidth="1"/>
    <col min="10775" max="11006" width="8.88671875" style="329"/>
    <col min="11007" max="11007" width="63.5546875" style="329" bestFit="1" customWidth="1"/>
    <col min="11008" max="11008" width="10.6640625" style="329" bestFit="1" customWidth="1"/>
    <col min="11009" max="11019" width="9.109375" style="329" customWidth="1"/>
    <col min="11020" max="11020" width="14.88671875" style="329" bestFit="1" customWidth="1"/>
    <col min="11021" max="11029" width="9.109375" style="329" customWidth="1"/>
    <col min="11030" max="11030" width="10.44140625" style="329" customWidth="1"/>
    <col min="11031" max="11262" width="8.88671875" style="329"/>
    <col min="11263" max="11263" width="63.5546875" style="329" bestFit="1" customWidth="1"/>
    <col min="11264" max="11264" width="10.6640625" style="329" bestFit="1" customWidth="1"/>
    <col min="11265" max="11275" width="9.109375" style="329" customWidth="1"/>
    <col min="11276" max="11276" width="14.88671875" style="329" bestFit="1" customWidth="1"/>
    <col min="11277" max="11285" width="9.109375" style="329" customWidth="1"/>
    <col min="11286" max="11286" width="10.44140625" style="329" customWidth="1"/>
    <col min="11287" max="11518" width="8.88671875" style="329"/>
    <col min="11519" max="11519" width="63.5546875" style="329" bestFit="1" customWidth="1"/>
    <col min="11520" max="11520" width="10.6640625" style="329" bestFit="1" customWidth="1"/>
    <col min="11521" max="11531" width="9.109375" style="329" customWidth="1"/>
    <col min="11532" max="11532" width="14.88671875" style="329" bestFit="1" customWidth="1"/>
    <col min="11533" max="11541" width="9.109375" style="329" customWidth="1"/>
    <col min="11542" max="11542" width="10.44140625" style="329" customWidth="1"/>
    <col min="11543" max="11774" width="8.88671875" style="329"/>
    <col min="11775" max="11775" width="63.5546875" style="329" bestFit="1" customWidth="1"/>
    <col min="11776" max="11776" width="10.6640625" style="329" bestFit="1" customWidth="1"/>
    <col min="11777" max="11787" width="9.109375" style="329" customWidth="1"/>
    <col min="11788" max="11788" width="14.88671875" style="329" bestFit="1" customWidth="1"/>
    <col min="11789" max="11797" width="9.109375" style="329" customWidth="1"/>
    <col min="11798" max="11798" width="10.44140625" style="329" customWidth="1"/>
    <col min="11799" max="12030" width="8.88671875" style="329"/>
    <col min="12031" max="12031" width="63.5546875" style="329" bestFit="1" customWidth="1"/>
    <col min="12032" max="12032" width="10.6640625" style="329" bestFit="1" customWidth="1"/>
    <col min="12033" max="12043" width="9.109375" style="329" customWidth="1"/>
    <col min="12044" max="12044" width="14.88671875" style="329" bestFit="1" customWidth="1"/>
    <col min="12045" max="12053" width="9.109375" style="329" customWidth="1"/>
    <col min="12054" max="12054" width="10.44140625" style="329" customWidth="1"/>
    <col min="12055" max="12286" width="8.88671875" style="329"/>
    <col min="12287" max="12287" width="63.5546875" style="329" bestFit="1" customWidth="1"/>
    <col min="12288" max="12288" width="10.6640625" style="329" bestFit="1" customWidth="1"/>
    <col min="12289" max="12299" width="9.109375" style="329" customWidth="1"/>
    <col min="12300" max="12300" width="14.88671875" style="329" bestFit="1" customWidth="1"/>
    <col min="12301" max="12309" width="9.109375" style="329" customWidth="1"/>
    <col min="12310" max="12310" width="10.44140625" style="329" customWidth="1"/>
    <col min="12311" max="12542" width="8.88671875" style="329"/>
    <col min="12543" max="12543" width="63.5546875" style="329" bestFit="1" customWidth="1"/>
    <col min="12544" max="12544" width="10.6640625" style="329" bestFit="1" customWidth="1"/>
    <col min="12545" max="12555" width="9.109375" style="329" customWidth="1"/>
    <col min="12556" max="12556" width="14.88671875" style="329" bestFit="1" customWidth="1"/>
    <col min="12557" max="12565" width="9.109375" style="329" customWidth="1"/>
    <col min="12566" max="12566" width="10.44140625" style="329" customWidth="1"/>
    <col min="12567" max="12798" width="8.88671875" style="329"/>
    <col min="12799" max="12799" width="63.5546875" style="329" bestFit="1" customWidth="1"/>
    <col min="12800" max="12800" width="10.6640625" style="329" bestFit="1" customWidth="1"/>
    <col min="12801" max="12811" width="9.109375" style="329" customWidth="1"/>
    <col min="12812" max="12812" width="14.88671875" style="329" bestFit="1" customWidth="1"/>
    <col min="12813" max="12821" width="9.109375" style="329" customWidth="1"/>
    <col min="12822" max="12822" width="10.44140625" style="329" customWidth="1"/>
    <col min="12823" max="13054" width="8.88671875" style="329"/>
    <col min="13055" max="13055" width="63.5546875" style="329" bestFit="1" customWidth="1"/>
    <col min="13056" max="13056" width="10.6640625" style="329" bestFit="1" customWidth="1"/>
    <col min="13057" max="13067" width="9.109375" style="329" customWidth="1"/>
    <col min="13068" max="13068" width="14.88671875" style="329" bestFit="1" customWidth="1"/>
    <col min="13069" max="13077" width="9.109375" style="329" customWidth="1"/>
    <col min="13078" max="13078" width="10.44140625" style="329" customWidth="1"/>
    <col min="13079" max="13310" width="8.88671875" style="329"/>
    <col min="13311" max="13311" width="63.5546875" style="329" bestFit="1" customWidth="1"/>
    <col min="13312" max="13312" width="10.6640625" style="329" bestFit="1" customWidth="1"/>
    <col min="13313" max="13323" width="9.109375" style="329" customWidth="1"/>
    <col min="13324" max="13324" width="14.88671875" style="329" bestFit="1" customWidth="1"/>
    <col min="13325" max="13333" width="9.109375" style="329" customWidth="1"/>
    <col min="13334" max="13334" width="10.44140625" style="329" customWidth="1"/>
    <col min="13335" max="13566" width="8.88671875" style="329"/>
    <col min="13567" max="13567" width="63.5546875" style="329" bestFit="1" customWidth="1"/>
    <col min="13568" max="13568" width="10.6640625" style="329" bestFit="1" customWidth="1"/>
    <col min="13569" max="13579" width="9.109375" style="329" customWidth="1"/>
    <col min="13580" max="13580" width="14.88671875" style="329" bestFit="1" customWidth="1"/>
    <col min="13581" max="13589" width="9.109375" style="329" customWidth="1"/>
    <col min="13590" max="13590" width="10.44140625" style="329" customWidth="1"/>
    <col min="13591" max="13822" width="8.88671875" style="329"/>
    <col min="13823" max="13823" width="63.5546875" style="329" bestFit="1" customWidth="1"/>
    <col min="13824" max="13824" width="10.6640625" style="329" bestFit="1" customWidth="1"/>
    <col min="13825" max="13835" width="9.109375" style="329" customWidth="1"/>
    <col min="13836" max="13836" width="14.88671875" style="329" bestFit="1" customWidth="1"/>
    <col min="13837" max="13845" width="9.109375" style="329" customWidth="1"/>
    <col min="13846" max="13846" width="10.44140625" style="329" customWidth="1"/>
    <col min="13847" max="14078" width="8.88671875" style="329"/>
    <col min="14079" max="14079" width="63.5546875" style="329" bestFit="1" customWidth="1"/>
    <col min="14080" max="14080" width="10.6640625" style="329" bestFit="1" customWidth="1"/>
    <col min="14081" max="14091" width="9.109375" style="329" customWidth="1"/>
    <col min="14092" max="14092" width="14.88671875" style="329" bestFit="1" customWidth="1"/>
    <col min="14093" max="14101" width="9.109375" style="329" customWidth="1"/>
    <col min="14102" max="14102" width="10.44140625" style="329" customWidth="1"/>
    <col min="14103" max="14334" width="8.88671875" style="329"/>
    <col min="14335" max="14335" width="63.5546875" style="329" bestFit="1" customWidth="1"/>
    <col min="14336" max="14336" width="10.6640625" style="329" bestFit="1" customWidth="1"/>
    <col min="14337" max="14347" width="9.109375" style="329" customWidth="1"/>
    <col min="14348" max="14348" width="14.88671875" style="329" bestFit="1" customWidth="1"/>
    <col min="14349" max="14357" width="9.109375" style="329" customWidth="1"/>
    <col min="14358" max="14358" width="10.44140625" style="329" customWidth="1"/>
    <col min="14359" max="14590" width="8.88671875" style="329"/>
    <col min="14591" max="14591" width="63.5546875" style="329" bestFit="1" customWidth="1"/>
    <col min="14592" max="14592" width="10.6640625" style="329" bestFit="1" customWidth="1"/>
    <col min="14593" max="14603" width="9.109375" style="329" customWidth="1"/>
    <col min="14604" max="14604" width="14.88671875" style="329" bestFit="1" customWidth="1"/>
    <col min="14605" max="14613" width="9.109375" style="329" customWidth="1"/>
    <col min="14614" max="14614" width="10.44140625" style="329" customWidth="1"/>
    <col min="14615" max="14846" width="8.88671875" style="329"/>
    <col min="14847" max="14847" width="63.5546875" style="329" bestFit="1" customWidth="1"/>
    <col min="14848" max="14848" width="10.6640625" style="329" bestFit="1" customWidth="1"/>
    <col min="14849" max="14859" width="9.109375" style="329" customWidth="1"/>
    <col min="14860" max="14860" width="14.88671875" style="329" bestFit="1" customWidth="1"/>
    <col min="14861" max="14869" width="9.109375" style="329" customWidth="1"/>
    <col min="14870" max="14870" width="10.44140625" style="329" customWidth="1"/>
    <col min="14871" max="15102" width="8.88671875" style="329"/>
    <col min="15103" max="15103" width="63.5546875" style="329" bestFit="1" customWidth="1"/>
    <col min="15104" max="15104" width="10.6640625" style="329" bestFit="1" customWidth="1"/>
    <col min="15105" max="15115" width="9.109375" style="329" customWidth="1"/>
    <col min="15116" max="15116" width="14.88671875" style="329" bestFit="1" customWidth="1"/>
    <col min="15117" max="15125" width="9.109375" style="329" customWidth="1"/>
    <col min="15126" max="15126" width="10.44140625" style="329" customWidth="1"/>
    <col min="15127" max="15358" width="8.88671875" style="329"/>
    <col min="15359" max="15359" width="63.5546875" style="329" bestFit="1" customWidth="1"/>
    <col min="15360" max="15360" width="10.6640625" style="329" bestFit="1" customWidth="1"/>
    <col min="15361" max="15371" width="9.109375" style="329" customWidth="1"/>
    <col min="15372" max="15372" width="14.88671875" style="329" bestFit="1" customWidth="1"/>
    <col min="15373" max="15381" width="9.109375" style="329" customWidth="1"/>
    <col min="15382" max="15382" width="10.44140625" style="329" customWidth="1"/>
    <col min="15383" max="15614" width="8.88671875" style="329"/>
    <col min="15615" max="15615" width="63.5546875" style="329" bestFit="1" customWidth="1"/>
    <col min="15616" max="15616" width="10.6640625" style="329" bestFit="1" customWidth="1"/>
    <col min="15617" max="15627" width="9.109375" style="329" customWidth="1"/>
    <col min="15628" max="15628" width="14.88671875" style="329" bestFit="1" customWidth="1"/>
    <col min="15629" max="15637" width="9.109375" style="329" customWidth="1"/>
    <col min="15638" max="15638" width="10.44140625" style="329" customWidth="1"/>
    <col min="15639" max="15870" width="8.88671875" style="329"/>
    <col min="15871" max="15871" width="63.5546875" style="329" bestFit="1" customWidth="1"/>
    <col min="15872" max="15872" width="10.6640625" style="329" bestFit="1" customWidth="1"/>
    <col min="15873" max="15883" width="9.109375" style="329" customWidth="1"/>
    <col min="15884" max="15884" width="14.88671875" style="329" bestFit="1" customWidth="1"/>
    <col min="15885" max="15893" width="9.109375" style="329" customWidth="1"/>
    <col min="15894" max="15894" width="10.44140625" style="329" customWidth="1"/>
    <col min="15895" max="16126" width="8.88671875" style="329"/>
    <col min="16127" max="16127" width="63.5546875" style="329" bestFit="1" customWidth="1"/>
    <col min="16128" max="16128" width="10.6640625" style="329" bestFit="1" customWidth="1"/>
    <col min="16129" max="16139" width="9.109375" style="329" customWidth="1"/>
    <col min="16140" max="16140" width="14.88671875" style="329" bestFit="1" customWidth="1"/>
    <col min="16141" max="16149" width="9.109375" style="329" customWidth="1"/>
    <col min="16150" max="16150" width="10.44140625" style="329" customWidth="1"/>
    <col min="16151" max="16382" width="8.88671875" style="329"/>
    <col min="16383" max="16384" width="12.6640625" style="329" customWidth="1"/>
  </cols>
  <sheetData>
    <row r="1" spans="1:17" s="323" customFormat="1" ht="16.2">
      <c r="A1" s="642" t="s">
        <v>209</v>
      </c>
      <c r="B1" s="642"/>
      <c r="C1" s="643"/>
      <c r="D1" s="643"/>
      <c r="E1" s="643"/>
      <c r="F1" s="643"/>
      <c r="G1" s="643"/>
      <c r="H1" s="643"/>
      <c r="I1" s="643"/>
      <c r="J1" s="643"/>
      <c r="K1" s="643"/>
      <c r="L1" s="643"/>
      <c r="M1" s="643"/>
      <c r="N1" s="643"/>
      <c r="O1" s="643"/>
      <c r="Q1" s="324"/>
    </row>
    <row r="2" spans="1:17" s="323" customFormat="1" ht="15.6">
      <c r="A2" s="644" t="s">
        <v>213</v>
      </c>
      <c r="B2" s="644"/>
      <c r="C2" s="645"/>
      <c r="D2" s="645"/>
      <c r="E2" s="645"/>
      <c r="F2" s="645"/>
      <c r="G2" s="645"/>
      <c r="H2" s="645"/>
      <c r="I2" s="645"/>
      <c r="J2" s="645"/>
      <c r="K2" s="645"/>
      <c r="L2" s="645"/>
      <c r="M2" s="645"/>
      <c r="N2" s="645"/>
      <c r="O2" s="645"/>
      <c r="Q2" s="324"/>
    </row>
    <row r="3" spans="1:17" s="323" customFormat="1" ht="15.6">
      <c r="A3" s="646" t="str">
        <f>'Fund 0666'!A3:O3</f>
        <v>Data Through February 28, 2022</v>
      </c>
      <c r="B3" s="646"/>
      <c r="C3" s="647"/>
      <c r="D3" s="647"/>
      <c r="E3" s="647"/>
      <c r="F3" s="647"/>
      <c r="G3" s="647"/>
      <c r="H3" s="647"/>
      <c r="I3" s="647"/>
      <c r="J3" s="647"/>
      <c r="K3" s="647"/>
      <c r="L3" s="647"/>
      <c r="M3" s="647"/>
      <c r="N3" s="647"/>
      <c r="O3" s="647"/>
      <c r="Q3" s="324"/>
    </row>
    <row r="4" spans="1:17" s="323" customFormat="1">
      <c r="A4" s="325"/>
      <c r="B4" s="325"/>
      <c r="C4" s="321"/>
      <c r="D4" s="321"/>
      <c r="E4" s="321"/>
      <c r="F4" s="321"/>
      <c r="G4" s="321"/>
      <c r="H4" s="321"/>
      <c r="I4" s="326"/>
      <c r="J4" s="326"/>
      <c r="K4" s="326"/>
      <c r="L4" s="318"/>
      <c r="M4" s="318"/>
      <c r="N4" s="318"/>
      <c r="O4" s="318"/>
      <c r="Q4" s="324"/>
    </row>
    <row r="5" spans="1:17" ht="15.6">
      <c r="A5" s="91"/>
      <c r="B5" s="91"/>
      <c r="C5" s="85"/>
      <c r="D5" s="85"/>
      <c r="E5" s="85"/>
      <c r="F5" s="85"/>
      <c r="G5" s="85"/>
      <c r="H5" s="85"/>
      <c r="I5" s="93"/>
      <c r="J5" s="93"/>
      <c r="K5" s="93"/>
      <c r="L5" s="85"/>
      <c r="M5" s="85"/>
      <c r="N5" s="85"/>
      <c r="O5" s="85"/>
    </row>
    <row r="6" spans="1:17" ht="15.6">
      <c r="A6" s="91"/>
      <c r="B6" s="91"/>
      <c r="C6" s="346"/>
      <c r="D6" s="346"/>
      <c r="E6" s="346"/>
      <c r="F6" s="346"/>
      <c r="G6" s="346"/>
      <c r="H6" s="346"/>
      <c r="I6" s="346"/>
      <c r="J6" s="346"/>
      <c r="K6" s="346"/>
      <c r="L6" s="346"/>
      <c r="M6" s="346"/>
      <c r="N6" s="346"/>
      <c r="O6" s="346" t="s">
        <v>558</v>
      </c>
    </row>
    <row r="7" spans="1:17" s="331" customFormat="1" ht="16.2" thickBot="1">
      <c r="A7" s="92"/>
      <c r="B7" s="92"/>
      <c r="C7" s="320" t="s">
        <v>527</v>
      </c>
      <c r="D7" s="320" t="s">
        <v>528</v>
      </c>
      <c r="E7" s="320" t="s">
        <v>529</v>
      </c>
      <c r="F7" s="320" t="s">
        <v>530</v>
      </c>
      <c r="G7" s="320" t="s">
        <v>531</v>
      </c>
      <c r="H7" s="320" t="s">
        <v>532</v>
      </c>
      <c r="I7" s="320" t="s">
        <v>533</v>
      </c>
      <c r="J7" s="320" t="s">
        <v>534</v>
      </c>
      <c r="K7" s="320" t="s">
        <v>535</v>
      </c>
      <c r="L7" s="320" t="s">
        <v>536</v>
      </c>
      <c r="M7" s="320" t="s">
        <v>537</v>
      </c>
      <c r="N7" s="320" t="s">
        <v>538</v>
      </c>
      <c r="O7" s="361" t="str">
        <f>'Fund 0666'!O7</f>
        <v>as of 02/28/22</v>
      </c>
      <c r="Q7" s="330"/>
    </row>
    <row r="8" spans="1:17" ht="16.2" thickTop="1">
      <c r="A8" s="91"/>
      <c r="B8" s="91"/>
      <c r="C8" s="85"/>
      <c r="D8" s="85"/>
      <c r="E8" s="85"/>
      <c r="F8" s="85"/>
      <c r="G8" s="85"/>
      <c r="H8" s="85"/>
      <c r="I8" s="93"/>
      <c r="J8" s="94"/>
      <c r="K8" s="94"/>
      <c r="L8" s="85"/>
      <c r="M8" s="85"/>
      <c r="N8" s="85"/>
      <c r="O8" s="85"/>
    </row>
    <row r="9" spans="1:17" ht="16.2" thickBot="1">
      <c r="A9" s="340" t="s">
        <v>212</v>
      </c>
      <c r="B9" s="351"/>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2" t="s">
        <v>208</v>
      </c>
      <c r="B11" s="362"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3" customFormat="1" ht="15.6">
      <c r="A16" s="102" t="s">
        <v>214</v>
      </c>
      <c r="B16" s="360" t="s">
        <v>103</v>
      </c>
      <c r="C16" s="85">
        <v>1087.8399999999999</v>
      </c>
      <c r="D16" s="104">
        <v>40364.879999999997</v>
      </c>
      <c r="E16" s="103">
        <v>37703.85</v>
      </c>
      <c r="F16" s="103">
        <v>29949.81</v>
      </c>
      <c r="G16" s="378">
        <v>31134.53</v>
      </c>
      <c r="H16" s="85">
        <v>27945.040000000001</v>
      </c>
      <c r="I16" s="378"/>
      <c r="J16" s="103"/>
      <c r="K16" s="103"/>
      <c r="L16" s="378"/>
      <c r="M16" s="85"/>
      <c r="N16" s="85"/>
      <c r="O16" s="103">
        <f t="shared" ref="O16" si="2">ROUND(SUM(C16:N16),0)</f>
        <v>168186</v>
      </c>
      <c r="Q16" s="334"/>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3" t="s">
        <v>207</v>
      </c>
      <c r="B21" s="363"/>
      <c r="C21" s="88">
        <f>ROUND((SUM(C13:C20)),0)</f>
        <v>1088</v>
      </c>
      <c r="D21" s="88">
        <f t="shared" ref="D21:M21" si="3">ROUND((SUM(D13:D20)),0)</f>
        <v>40365</v>
      </c>
      <c r="E21" s="88">
        <f t="shared" si="3"/>
        <v>37704</v>
      </c>
      <c r="F21" s="88">
        <f t="shared" si="3"/>
        <v>29950</v>
      </c>
      <c r="G21" s="88">
        <f t="shared" si="3"/>
        <v>31135</v>
      </c>
      <c r="H21" s="88">
        <f t="shared" si="3"/>
        <v>27945</v>
      </c>
      <c r="I21" s="88">
        <f t="shared" si="3"/>
        <v>0</v>
      </c>
      <c r="J21" s="88">
        <f t="shared" si="3"/>
        <v>0</v>
      </c>
      <c r="K21" s="88">
        <f t="shared" si="3"/>
        <v>0</v>
      </c>
      <c r="L21" s="88">
        <f t="shared" si="3"/>
        <v>0</v>
      </c>
      <c r="M21" s="88">
        <f t="shared" si="3"/>
        <v>0</v>
      </c>
      <c r="N21" s="88">
        <f>ROUND((SUM(N13:N20)),0)</f>
        <v>0</v>
      </c>
      <c r="O21" s="88">
        <f>ROUND((SUM(O13:O20)),0)</f>
        <v>168186</v>
      </c>
    </row>
    <row r="22" spans="1:17" ht="15.6">
      <c r="A22" s="91"/>
      <c r="B22" s="91"/>
      <c r="C22" s="85"/>
      <c r="D22" s="85"/>
      <c r="E22" s="85"/>
      <c r="F22" s="85"/>
      <c r="G22" s="85"/>
      <c r="H22" s="85"/>
      <c r="I22" s="98"/>
      <c r="J22" s="98"/>
      <c r="K22" s="98"/>
      <c r="L22" s="85"/>
      <c r="M22" s="85"/>
      <c r="N22" s="85"/>
      <c r="O22" s="85"/>
    </row>
    <row r="23" spans="1:17" ht="15.6">
      <c r="A23" s="362" t="s">
        <v>206</v>
      </c>
      <c r="B23" s="362"/>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-31135</v>
      </c>
      <c r="H25" s="85">
        <f t="shared" si="4"/>
        <v>-27945</v>
      </c>
      <c r="I25" s="85">
        <f t="shared" si="4"/>
        <v>0</v>
      </c>
      <c r="J25" s="85">
        <f t="shared" si="4"/>
        <v>0</v>
      </c>
      <c r="K25" s="85">
        <f t="shared" si="4"/>
        <v>0</v>
      </c>
      <c r="L25" s="85">
        <f t="shared" si="4"/>
        <v>0</v>
      </c>
      <c r="M25" s="85">
        <f t="shared" si="4"/>
        <v>0</v>
      </c>
      <c r="N25" s="85">
        <f>ROUND(-N21,0)</f>
        <v>0</v>
      </c>
      <c r="O25" s="85">
        <f>-O21</f>
        <v>-168186</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2" t="s">
        <v>205</v>
      </c>
      <c r="B28" s="362"/>
      <c r="C28" s="88">
        <f>ROUND(SUM(C24:C27),0)</f>
        <v>-1088</v>
      </c>
      <c r="D28" s="88">
        <f>ROUND(SUM(D24:D27),0)</f>
        <v>-40365</v>
      </c>
      <c r="E28" s="88">
        <f>ROUND(SUM(E24:E27),0)</f>
        <v>-37704</v>
      </c>
      <c r="F28" s="88">
        <f>ROUND(SUM(F24:F27),0)</f>
        <v>-29950</v>
      </c>
      <c r="G28" s="88">
        <f>ROUND(SUM(G24:G27),0)</f>
        <v>-31135</v>
      </c>
      <c r="H28" s="88">
        <f t="shared" ref="H28:M28" si="5">SUM(H24:H27)</f>
        <v>-27945</v>
      </c>
      <c r="I28" s="88">
        <f t="shared" si="5"/>
        <v>0</v>
      </c>
      <c r="J28" s="88">
        <f t="shared" si="5"/>
        <v>0</v>
      </c>
      <c r="K28" s="88">
        <f t="shared" si="5"/>
        <v>0</v>
      </c>
      <c r="L28" s="88">
        <f t="shared" si="5"/>
        <v>0</v>
      </c>
      <c r="M28" s="88">
        <f t="shared" si="5"/>
        <v>0</v>
      </c>
      <c r="N28" s="88">
        <f>SUM(N24:N27)</f>
        <v>0</v>
      </c>
      <c r="O28" s="88">
        <f>SUM(O24:O27)</f>
        <v>-168186</v>
      </c>
    </row>
    <row r="29" spans="1:17" ht="15.6">
      <c r="A29" s="91"/>
      <c r="B29" s="91"/>
      <c r="C29" s="85"/>
      <c r="D29" s="85"/>
      <c r="E29" s="85"/>
      <c r="F29" s="85"/>
      <c r="G29" s="85"/>
      <c r="H29" s="85"/>
      <c r="I29" s="98"/>
      <c r="J29" s="98"/>
      <c r="K29" s="98"/>
      <c r="L29" s="85"/>
      <c r="M29" s="85"/>
      <c r="N29" s="85"/>
      <c r="O29" s="85"/>
    </row>
    <row r="30" spans="1:17" ht="16.2" thickBot="1">
      <c r="A30" s="340" t="s">
        <v>204</v>
      </c>
      <c r="B30" s="340"/>
      <c r="C30" s="343">
        <f>ROUND(+C9+C21+C28,0)</f>
        <v>0</v>
      </c>
      <c r="D30" s="343">
        <f t="shared" ref="D30:N30" si="6">ROUND(+D9+D21+D28,0)</f>
        <v>0</v>
      </c>
      <c r="E30" s="343">
        <f t="shared" si="6"/>
        <v>0</v>
      </c>
      <c r="F30" s="343">
        <f t="shared" si="6"/>
        <v>0</v>
      </c>
      <c r="G30" s="343">
        <f t="shared" si="6"/>
        <v>0</v>
      </c>
      <c r="H30" s="343">
        <f t="shared" si="6"/>
        <v>0</v>
      </c>
      <c r="I30" s="343">
        <f t="shared" si="6"/>
        <v>0</v>
      </c>
      <c r="J30" s="343">
        <f t="shared" si="6"/>
        <v>0</v>
      </c>
      <c r="K30" s="343">
        <f t="shared" si="6"/>
        <v>0</v>
      </c>
      <c r="L30" s="343">
        <f t="shared" si="6"/>
        <v>0</v>
      </c>
      <c r="M30" s="343">
        <f t="shared" si="6"/>
        <v>0</v>
      </c>
      <c r="N30" s="343">
        <f t="shared" si="6"/>
        <v>0</v>
      </c>
      <c r="O30" s="343">
        <f>ROUND(+O9+O21+O28,0)</f>
        <v>0</v>
      </c>
      <c r="Q30" s="329"/>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2"/>
    </row>
    <row r="41" spans="1:15">
      <c r="D41" s="332"/>
    </row>
    <row r="42" spans="1:15">
      <c r="D42" s="332"/>
    </row>
    <row r="43" spans="1:15">
      <c r="D43" s="33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65" zoomScaleNormal="65" zoomScaleSheetLayoutView="80" workbookViewId="0">
      <pane ySplit="6" topLeftCell="A7" activePane="bottomLeft" state="frozen"/>
      <selection activeCell="AM66" sqref="AM66"/>
      <selection pane="bottomLeft" activeCell="C24" sqref="C2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514</v>
      </c>
      <c r="B2" s="227"/>
      <c r="C2" s="227"/>
      <c r="D2" s="227"/>
      <c r="E2" s="227"/>
      <c r="F2" s="227"/>
      <c r="G2" s="227"/>
      <c r="H2" s="227"/>
      <c r="I2" s="227"/>
      <c r="J2" s="227"/>
      <c r="K2" s="227"/>
      <c r="L2" s="227"/>
      <c r="M2" s="227"/>
    </row>
    <row r="3" spans="1:15" s="9" customFormat="1" ht="15.6">
      <c r="A3" s="151" t="str">
        <f>'Schedule 1'!A3:L3</f>
        <v>Data Through February 28, 2022</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48" t="s">
        <v>40</v>
      </c>
      <c r="B7" s="649"/>
      <c r="C7" s="232"/>
      <c r="D7" s="232"/>
      <c r="E7" s="233"/>
      <c r="F7" s="233"/>
      <c r="G7" s="233"/>
      <c r="H7" s="233"/>
      <c r="I7" s="232"/>
      <c r="J7" s="232"/>
      <c r="K7" s="232"/>
      <c r="L7" s="232"/>
      <c r="M7" s="232"/>
      <c r="N7" s="234"/>
    </row>
    <row r="8" spans="1:15" s="28" customFormat="1" ht="18" customHeight="1">
      <c r="A8" s="352" t="s">
        <v>518</v>
      </c>
      <c r="B8" s="236" t="s">
        <v>380</v>
      </c>
      <c r="C8" s="237">
        <v>9119119</v>
      </c>
      <c r="D8" s="237">
        <v>-54536</v>
      </c>
      <c r="E8" s="237"/>
      <c r="F8" s="238" t="s">
        <v>196</v>
      </c>
      <c r="G8" s="237">
        <v>0</v>
      </c>
      <c r="H8" s="238"/>
      <c r="I8" s="237">
        <v>9064583</v>
      </c>
      <c r="J8" s="237">
        <v>2290136.9099999988</v>
      </c>
      <c r="K8" s="237">
        <v>4393667.7300000004</v>
      </c>
      <c r="L8" s="237">
        <v>9064583</v>
      </c>
      <c r="M8" s="237">
        <f>I8-L8</f>
        <v>0</v>
      </c>
      <c r="N8" s="239">
        <f>D8-I8+C8</f>
        <v>0</v>
      </c>
      <c r="O8" s="29"/>
    </row>
    <row r="9" spans="1:15" s="28" customFormat="1" ht="18" customHeight="1">
      <c r="A9" s="235" t="s">
        <v>517</v>
      </c>
      <c r="B9" s="236" t="s">
        <v>153</v>
      </c>
      <c r="C9" s="237">
        <v>6000000</v>
      </c>
      <c r="D9" s="237">
        <v>-12092</v>
      </c>
      <c r="E9" s="237"/>
      <c r="F9" s="238" t="s">
        <v>196</v>
      </c>
      <c r="G9" s="237">
        <v>0</v>
      </c>
      <c r="H9" s="238"/>
      <c r="I9" s="237">
        <v>5987908</v>
      </c>
      <c r="J9" s="237">
        <v>2381807.0099999951</v>
      </c>
      <c r="K9" s="237">
        <v>2652651.21</v>
      </c>
      <c r="L9" s="237">
        <v>5987908</v>
      </c>
      <c r="M9" s="237">
        <f>I9-L9</f>
        <v>0</v>
      </c>
      <c r="N9" s="239">
        <f t="shared" ref="N9:N24" si="0">D9-I9+C9</f>
        <v>0</v>
      </c>
      <c r="O9" s="105"/>
    </row>
    <row r="10" spans="1:15" s="28" customFormat="1" ht="18" customHeight="1">
      <c r="A10" s="235" t="s">
        <v>519</v>
      </c>
      <c r="B10" s="236" t="s">
        <v>381</v>
      </c>
      <c r="C10" s="237">
        <v>630000</v>
      </c>
      <c r="D10" s="237">
        <v>-3781</v>
      </c>
      <c r="E10" s="237"/>
      <c r="F10" s="238" t="s">
        <v>196</v>
      </c>
      <c r="G10" s="237">
        <v>0</v>
      </c>
      <c r="H10" s="238"/>
      <c r="I10" s="237">
        <v>626219</v>
      </c>
      <c r="J10" s="237">
        <v>376736.78999999969</v>
      </c>
      <c r="K10" s="237">
        <v>237023.88</v>
      </c>
      <c r="L10" s="237">
        <v>626219</v>
      </c>
      <c r="M10" s="237">
        <f>I10-L10</f>
        <v>0</v>
      </c>
      <c r="N10" s="239">
        <f t="shared" si="0"/>
        <v>0</v>
      </c>
    </row>
    <row r="11" spans="1:15" s="28" customFormat="1" ht="18" customHeight="1">
      <c r="A11" s="419" t="s">
        <v>520</v>
      </c>
      <c r="B11" s="236" t="s">
        <v>468</v>
      </c>
      <c r="C11" s="237">
        <v>2270399</v>
      </c>
      <c r="D11" s="237">
        <v>0</v>
      </c>
      <c r="E11" s="237"/>
      <c r="F11" s="238" t="s">
        <v>193</v>
      </c>
      <c r="G11" s="237">
        <v>0</v>
      </c>
      <c r="H11" s="238"/>
      <c r="I11" s="237">
        <v>2270399</v>
      </c>
      <c r="J11" s="237">
        <v>161354.57999999999</v>
      </c>
      <c r="K11" s="237">
        <v>332010.59000000003</v>
      </c>
      <c r="L11" s="237">
        <v>2270399</v>
      </c>
      <c r="M11" s="237">
        <f t="shared" ref="M11:M12" si="1">I11-L11</f>
        <v>0</v>
      </c>
      <c r="N11" s="239">
        <f t="shared" si="0"/>
        <v>0</v>
      </c>
    </row>
    <row r="12" spans="1:15" s="28" customFormat="1" ht="18" customHeight="1">
      <c r="A12" s="235" t="s">
        <v>521</v>
      </c>
      <c r="B12" s="236" t="s">
        <v>111</v>
      </c>
      <c r="C12" s="237">
        <v>9154633</v>
      </c>
      <c r="D12" s="237">
        <v>-149949</v>
      </c>
      <c r="E12" s="237"/>
      <c r="F12" s="238" t="s">
        <v>196</v>
      </c>
      <c r="G12" s="237">
        <v>0</v>
      </c>
      <c r="H12" s="238"/>
      <c r="I12" s="237">
        <v>9004684</v>
      </c>
      <c r="J12" s="237">
        <v>926367.88999999978</v>
      </c>
      <c r="K12" s="237">
        <v>1196353.8700000001</v>
      </c>
      <c r="L12" s="237">
        <v>9004684</v>
      </c>
      <c r="M12" s="237">
        <f t="shared" si="1"/>
        <v>0</v>
      </c>
      <c r="N12" s="239">
        <f t="shared" si="0"/>
        <v>0</v>
      </c>
    </row>
    <row r="13" spans="1:15" s="28" customFormat="1" ht="18" customHeight="1">
      <c r="A13" s="235" t="s">
        <v>486</v>
      </c>
      <c r="B13" s="236" t="s">
        <v>488</v>
      </c>
      <c r="C13" s="237">
        <v>0</v>
      </c>
      <c r="D13" s="237">
        <v>2230712</v>
      </c>
      <c r="E13" s="237"/>
      <c r="F13" s="238" t="s">
        <v>480</v>
      </c>
      <c r="G13" s="237">
        <v>0</v>
      </c>
      <c r="H13" s="238"/>
      <c r="I13" s="237">
        <v>2230712</v>
      </c>
      <c r="J13" s="237">
        <v>480733.64000000036</v>
      </c>
      <c r="K13" s="237"/>
      <c r="L13" s="237">
        <v>2230712</v>
      </c>
      <c r="M13" s="237">
        <f t="shared" ref="M13:M14" si="2">I13-L13</f>
        <v>0</v>
      </c>
      <c r="N13" s="239">
        <f t="shared" si="0"/>
        <v>0</v>
      </c>
    </row>
    <row r="14" spans="1:15" s="28" customFormat="1" ht="18" customHeight="1">
      <c r="A14" s="235" t="s">
        <v>487</v>
      </c>
      <c r="B14" s="236" t="s">
        <v>489</v>
      </c>
      <c r="C14" s="237">
        <v>0</v>
      </c>
      <c r="D14" s="237">
        <v>3413248</v>
      </c>
      <c r="E14" s="237"/>
      <c r="F14" s="238" t="s">
        <v>480</v>
      </c>
      <c r="G14" s="237">
        <v>0</v>
      </c>
      <c r="H14" s="238"/>
      <c r="I14" s="237">
        <v>3413248</v>
      </c>
      <c r="J14" s="237">
        <v>3299873.790000001</v>
      </c>
      <c r="K14" s="237"/>
      <c r="L14" s="237">
        <v>3413248</v>
      </c>
      <c r="M14" s="237">
        <f t="shared" si="2"/>
        <v>0</v>
      </c>
      <c r="N14" s="239">
        <f t="shared" si="0"/>
        <v>0</v>
      </c>
    </row>
    <row r="15" spans="1:15" s="31" customFormat="1" ht="18" customHeight="1">
      <c r="A15" s="240" t="s">
        <v>191</v>
      </c>
      <c r="B15" s="241"/>
      <c r="C15" s="242">
        <f>SUM(C8:C14)</f>
        <v>27174151</v>
      </c>
      <c r="D15" s="242">
        <v>5423602</v>
      </c>
      <c r="E15" s="242">
        <f>SUM(E8:E14)</f>
        <v>0</v>
      </c>
      <c r="F15" s="242"/>
      <c r="G15" s="242">
        <f>SUM(G8:G14)</f>
        <v>0</v>
      </c>
      <c r="H15" s="242"/>
      <c r="I15" s="242">
        <f>SUM(I8:I14)</f>
        <v>32597753</v>
      </c>
      <c r="J15" s="242">
        <f>SUM(J8:J14)</f>
        <v>9917010.6099999957</v>
      </c>
      <c r="K15" s="242">
        <f>SUM(K8:K14)</f>
        <v>8811707.2800000012</v>
      </c>
      <c r="L15" s="242">
        <f>SUM(L8:L14)</f>
        <v>32597753</v>
      </c>
      <c r="M15" s="242">
        <f>SUM(M8:M12)</f>
        <v>0</v>
      </c>
      <c r="N15" s="239">
        <f t="shared" si="0"/>
        <v>0</v>
      </c>
    </row>
    <row r="16" spans="1:15" s="32" customFormat="1" ht="18" customHeight="1">
      <c r="A16" s="243"/>
      <c r="B16" s="244"/>
      <c r="C16" s="243"/>
      <c r="D16" s="243"/>
      <c r="E16" s="245"/>
      <c r="F16" s="246"/>
      <c r="G16" s="247"/>
      <c r="H16" s="246"/>
      <c r="I16" s="243"/>
      <c r="J16" s="243"/>
      <c r="K16" s="243"/>
      <c r="L16" s="243"/>
      <c r="M16" s="243"/>
      <c r="N16" s="239">
        <f t="shared" si="0"/>
        <v>0</v>
      </c>
    </row>
    <row r="17" spans="1:14" s="30" customFormat="1" ht="18" customHeight="1" thickBot="1">
      <c r="A17" s="248" t="s">
        <v>192</v>
      </c>
      <c r="B17" s="249"/>
      <c r="C17" s="250">
        <f>C15</f>
        <v>27174151</v>
      </c>
      <c r="D17" s="250">
        <v>5423602</v>
      </c>
      <c r="E17" s="250">
        <f t="shared" ref="E17:M17" si="3">E15</f>
        <v>0</v>
      </c>
      <c r="F17" s="250"/>
      <c r="G17" s="250">
        <f t="shared" si="3"/>
        <v>0</v>
      </c>
      <c r="H17" s="250"/>
      <c r="I17" s="250">
        <f t="shared" si="3"/>
        <v>32597753</v>
      </c>
      <c r="J17" s="250">
        <f t="shared" si="3"/>
        <v>9917010.6099999957</v>
      </c>
      <c r="K17" s="442">
        <f t="shared" si="3"/>
        <v>8811707.2800000012</v>
      </c>
      <c r="L17" s="250">
        <f t="shared" si="3"/>
        <v>32597753</v>
      </c>
      <c r="M17" s="250">
        <f t="shared" si="3"/>
        <v>0</v>
      </c>
      <c r="N17" s="239">
        <f t="shared" si="0"/>
        <v>0</v>
      </c>
    </row>
    <row r="18" spans="1:14" s="30" customFormat="1" ht="18" customHeight="1" thickTop="1">
      <c r="A18" s="243"/>
      <c r="B18" s="244"/>
      <c r="C18" s="243"/>
      <c r="D18" s="243"/>
      <c r="E18" s="245"/>
      <c r="F18" s="246"/>
      <c r="G18" s="247"/>
      <c r="H18" s="246"/>
      <c r="I18" s="243"/>
      <c r="J18" s="243"/>
      <c r="K18" s="243"/>
      <c r="L18" s="243"/>
      <c r="M18" s="243"/>
      <c r="N18" s="239">
        <f t="shared" si="0"/>
        <v>0</v>
      </c>
    </row>
    <row r="19" spans="1:14" s="28" customFormat="1" ht="18" customHeight="1">
      <c r="A19" s="243"/>
      <c r="B19" s="244"/>
      <c r="C19" s="243"/>
      <c r="D19" s="243"/>
      <c r="E19" s="245"/>
      <c r="F19" s="246"/>
      <c r="G19" s="247"/>
      <c r="H19" s="246"/>
      <c r="I19" s="243"/>
      <c r="J19" s="243"/>
      <c r="K19" s="243"/>
      <c r="L19" s="243"/>
      <c r="M19" s="243"/>
      <c r="N19" s="239">
        <f t="shared" si="0"/>
        <v>0</v>
      </c>
    </row>
    <row r="20" spans="1:14" s="33" customFormat="1" ht="18" customHeight="1">
      <c r="A20" s="251" t="s">
        <v>41</v>
      </c>
      <c r="B20" s="252"/>
      <c r="C20" s="253"/>
      <c r="D20" s="237"/>
      <c r="E20" s="253"/>
      <c r="F20" s="254"/>
      <c r="G20" s="255"/>
      <c r="H20" s="254"/>
      <c r="I20" s="253"/>
      <c r="J20" s="253"/>
      <c r="K20" s="443"/>
      <c r="L20" s="253"/>
      <c r="M20" s="253"/>
      <c r="N20" s="239">
        <f t="shared" si="0"/>
        <v>0</v>
      </c>
    </row>
    <row r="21" spans="1:14" s="34" customFormat="1" ht="18" customHeight="1">
      <c r="A21" s="256" t="s">
        <v>4</v>
      </c>
      <c r="B21" s="257"/>
      <c r="C21" s="237">
        <v>17258681</v>
      </c>
      <c r="D21" s="237">
        <v>5094631</v>
      </c>
      <c r="E21" s="237"/>
      <c r="F21" s="238"/>
      <c r="G21" s="237">
        <v>0</v>
      </c>
      <c r="H21" s="238"/>
      <c r="I21" s="237">
        <v>22353312</v>
      </c>
      <c r="J21" s="237">
        <v>4491687.6799999978</v>
      </c>
      <c r="K21" s="444">
        <v>6585357.9900243012</v>
      </c>
      <c r="L21" s="237">
        <v>22353312</v>
      </c>
      <c r="M21" s="237">
        <f>I21-L21</f>
        <v>0</v>
      </c>
      <c r="N21" s="239">
        <f t="shared" si="0"/>
        <v>0</v>
      </c>
    </row>
    <row r="22" spans="1:14" s="28" customFormat="1" ht="18" customHeight="1">
      <c r="A22" s="258"/>
      <c r="B22" s="257" t="s">
        <v>37</v>
      </c>
      <c r="C22" s="259">
        <f>C21</f>
        <v>17258681</v>
      </c>
      <c r="D22" s="237">
        <v>5094631</v>
      </c>
      <c r="E22" s="259">
        <f>E21</f>
        <v>0</v>
      </c>
      <c r="F22" s="260"/>
      <c r="G22" s="259">
        <f>G21</f>
        <v>0</v>
      </c>
      <c r="H22" s="260"/>
      <c r="I22" s="259">
        <f>I21</f>
        <v>22353312</v>
      </c>
      <c r="J22" s="259">
        <f>J21</f>
        <v>4491687.6799999978</v>
      </c>
      <c r="K22" s="445">
        <f>K21</f>
        <v>6585357.9900243012</v>
      </c>
      <c r="L22" s="259">
        <f>L21</f>
        <v>22353312</v>
      </c>
      <c r="M22" s="237">
        <f>I22-L22</f>
        <v>0</v>
      </c>
      <c r="N22" s="239">
        <f t="shared" si="0"/>
        <v>0</v>
      </c>
    </row>
    <row r="23" spans="1:14" s="28" customFormat="1" ht="18" customHeight="1">
      <c r="A23" s="261" t="s">
        <v>6</v>
      </c>
      <c r="B23" s="257"/>
      <c r="C23" s="237">
        <v>9915470</v>
      </c>
      <c r="D23" s="237">
        <v>328971</v>
      </c>
      <c r="E23" s="237"/>
      <c r="F23" s="238"/>
      <c r="G23" s="237">
        <v>0</v>
      </c>
      <c r="H23" s="238"/>
      <c r="I23" s="237">
        <v>10244441</v>
      </c>
      <c r="J23" s="237">
        <v>5425322.9299999978</v>
      </c>
      <c r="K23" s="444">
        <v>2226349.2899757</v>
      </c>
      <c r="L23" s="237">
        <v>10244441</v>
      </c>
      <c r="M23" s="237">
        <f>I23-L23</f>
        <v>0</v>
      </c>
      <c r="N23" s="239">
        <f t="shared" si="0"/>
        <v>0</v>
      </c>
    </row>
    <row r="24" spans="1:14" s="28" customFormat="1" ht="18" customHeight="1" thickBot="1">
      <c r="A24" s="248" t="s">
        <v>35</v>
      </c>
      <c r="B24" s="248"/>
      <c r="C24" s="250">
        <f>SUM(C22,C23)</f>
        <v>27174151</v>
      </c>
      <c r="D24" s="250">
        <v>5423602</v>
      </c>
      <c r="E24" s="250">
        <f>E22+E23</f>
        <v>0</v>
      </c>
      <c r="F24" s="250"/>
      <c r="G24" s="250">
        <f>SUM(G22,G23)</f>
        <v>0</v>
      </c>
      <c r="H24" s="250"/>
      <c r="I24" s="250">
        <f>SUM(I22,I23)</f>
        <v>32597753</v>
      </c>
      <c r="J24" s="250">
        <f>SUM(J22,J23)</f>
        <v>9917010.6099999957</v>
      </c>
      <c r="K24" s="442">
        <f>SUM(K22,K23)</f>
        <v>8811707.2800000012</v>
      </c>
      <c r="L24" s="250">
        <f>SUM(L22,L23)</f>
        <v>32597753</v>
      </c>
      <c r="M24" s="250">
        <f>SUM(M22,M23)</f>
        <v>0</v>
      </c>
      <c r="N24" s="239">
        <f t="shared" si="0"/>
        <v>0</v>
      </c>
    </row>
    <row r="25" spans="1:14" s="28" customFormat="1" ht="16.5" customHeight="1" thickTop="1">
      <c r="A25" s="252"/>
      <c r="B25" s="257"/>
      <c r="C25" s="262"/>
      <c r="D25" s="262"/>
      <c r="E25" s="262"/>
      <c r="F25" s="262"/>
      <c r="G25" s="262"/>
      <c r="H25" s="262"/>
      <c r="I25" s="262"/>
      <c r="J25" s="262"/>
      <c r="K25" s="262"/>
      <c r="L25" s="262"/>
      <c r="M25" s="262"/>
      <c r="N25" s="239"/>
    </row>
    <row r="26" spans="1:14" s="28" customFormat="1" ht="16.5" customHeight="1">
      <c r="A26" s="263" t="s">
        <v>38</v>
      </c>
      <c r="B26" s="257"/>
      <c r="C26" s="262"/>
      <c r="D26" s="262"/>
      <c r="E26" s="262"/>
      <c r="F26" s="262"/>
      <c r="G26" s="262"/>
      <c r="H26" s="262"/>
      <c r="I26" s="262"/>
      <c r="J26" s="262"/>
      <c r="K26" s="262"/>
      <c r="L26" s="262"/>
      <c r="M26" s="262"/>
      <c r="N26" s="234"/>
    </row>
    <row r="27" spans="1:14" s="28" customFormat="1" ht="16.5" customHeight="1">
      <c r="A27" s="263"/>
      <c r="B27" s="146"/>
      <c r="C27" s="262"/>
      <c r="D27" s="262"/>
      <c r="E27" s="262"/>
      <c r="F27" s="262"/>
      <c r="G27" s="262"/>
      <c r="H27" s="262"/>
      <c r="I27" s="262"/>
      <c r="J27" s="262"/>
      <c r="K27" s="262"/>
      <c r="L27" s="262"/>
      <c r="M27" s="262"/>
      <c r="N27" s="234"/>
    </row>
    <row r="28" spans="1:14" s="28" customFormat="1" ht="16.5" customHeight="1">
      <c r="A28" s="353" t="s">
        <v>196</v>
      </c>
      <c r="B28" s="146" t="s">
        <v>522</v>
      </c>
      <c r="C28" s="266"/>
      <c r="D28" s="265"/>
      <c r="E28" s="265"/>
      <c r="F28" s="265"/>
      <c r="G28" s="265"/>
      <c r="H28" s="265"/>
      <c r="I28" s="265"/>
      <c r="J28" s="265"/>
      <c r="K28" s="265"/>
      <c r="L28" s="265"/>
      <c r="M28" s="265"/>
      <c r="N28" s="234"/>
    </row>
    <row r="29" spans="1:14" s="28" customFormat="1" ht="16.5" customHeight="1">
      <c r="A29" s="353" t="s">
        <v>193</v>
      </c>
      <c r="B29" s="267" t="s">
        <v>523</v>
      </c>
      <c r="C29" s="266"/>
      <c r="D29" s="265"/>
      <c r="E29" s="265"/>
      <c r="F29" s="265"/>
      <c r="G29" s="265"/>
      <c r="H29" s="265"/>
      <c r="I29" s="265"/>
      <c r="J29" s="265"/>
      <c r="K29" s="265"/>
      <c r="L29" s="265"/>
      <c r="M29" s="265"/>
      <c r="N29" s="234"/>
    </row>
    <row r="30" spans="1:14" s="28" customFormat="1" ht="16.5" customHeight="1">
      <c r="A30" s="146" t="s">
        <v>480</v>
      </c>
      <c r="B30" s="267" t="s">
        <v>482</v>
      </c>
      <c r="C30" s="268"/>
      <c r="D30" s="268"/>
      <c r="E30" s="268"/>
      <c r="F30" s="268"/>
      <c r="G30" s="268"/>
      <c r="H30" s="268"/>
      <c r="I30" s="268"/>
      <c r="J30" s="268"/>
      <c r="K30" s="268"/>
      <c r="L30" s="268"/>
      <c r="M30" s="268"/>
      <c r="N30" s="234"/>
    </row>
    <row r="31" spans="1:14" s="28" customFormat="1" ht="16.5" customHeight="1">
      <c r="A31" s="264"/>
      <c r="B31" s="267"/>
      <c r="C31" s="35"/>
      <c r="D31" s="35"/>
      <c r="E31" s="35"/>
      <c r="F31" s="35"/>
      <c r="G31" s="35"/>
      <c r="H31" s="35"/>
      <c r="I31" s="35"/>
      <c r="J31" s="35"/>
      <c r="K31" s="35"/>
      <c r="L31" s="35"/>
      <c r="M31" s="35"/>
    </row>
    <row r="32" spans="1:14" s="28" customFormat="1" ht="15.6">
      <c r="A32" s="344"/>
      <c r="B32" s="234"/>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1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BE27"/>
  <sheetViews>
    <sheetView zoomScale="90" zoomScaleNormal="90" workbookViewId="0">
      <selection activeCell="I6" sqref="I6"/>
    </sheetView>
  </sheetViews>
  <sheetFormatPr defaultRowHeight="13.2"/>
  <cols>
    <col min="1" max="1" width="5.77734375" style="493" customWidth="1"/>
    <col min="2" max="2" width="21.33203125" style="493" hidden="1" customWidth="1"/>
    <col min="3" max="3" width="76.109375" style="497" customWidth="1"/>
    <col min="4" max="4" width="14.21875" style="497" customWidth="1"/>
    <col min="5" max="5" width="12.109375" style="493" customWidth="1"/>
    <col min="6" max="6" width="13" style="493" customWidth="1"/>
    <col min="7" max="7" width="15.6640625" style="493" customWidth="1"/>
    <col min="8" max="9" width="12.77734375" style="493" customWidth="1"/>
    <col min="10" max="10" width="9" style="493" bestFit="1" customWidth="1"/>
    <col min="11" max="16384" width="8.88671875" style="493"/>
  </cols>
  <sheetData>
    <row r="1" spans="1:57" s="468" customFormat="1" ht="16.5" customHeight="1">
      <c r="A1" s="650" t="s">
        <v>3</v>
      </c>
      <c r="B1" s="650"/>
      <c r="C1" s="650"/>
      <c r="D1" s="650"/>
      <c r="E1" s="650"/>
      <c r="F1" s="650"/>
      <c r="G1" s="650"/>
      <c r="H1" s="540"/>
      <c r="I1" s="540"/>
      <c r="J1" s="540"/>
    </row>
    <row r="2" spans="1:57" s="468" customFormat="1" ht="16.5" customHeight="1">
      <c r="A2" s="650" t="s">
        <v>653</v>
      </c>
      <c r="B2" s="650"/>
      <c r="C2" s="650"/>
      <c r="D2" s="650"/>
      <c r="E2" s="650"/>
      <c r="F2" s="650"/>
      <c r="G2" s="650"/>
      <c r="H2" s="540"/>
      <c r="I2" s="540"/>
      <c r="J2" s="540"/>
    </row>
    <row r="3" spans="1:57" s="468" customFormat="1" ht="16.5" customHeight="1">
      <c r="A3" s="651" t="s">
        <v>614</v>
      </c>
      <c r="B3" s="651"/>
      <c r="C3" s="651"/>
      <c r="D3" s="651"/>
      <c r="E3" s="651"/>
      <c r="F3" s="651"/>
      <c r="G3" s="651"/>
      <c r="H3" s="540"/>
      <c r="I3" s="540"/>
      <c r="J3" s="540"/>
    </row>
    <row r="4" spans="1:57" s="468" customFormat="1" ht="15.6">
      <c r="A4" s="652" t="s">
        <v>143</v>
      </c>
      <c r="B4" s="652"/>
      <c r="C4" s="652"/>
      <c r="D4" s="652"/>
      <c r="E4" s="652"/>
      <c r="F4" s="652"/>
      <c r="G4" s="652"/>
    </row>
    <row r="5" spans="1:57" s="469" customFormat="1" ht="15.6">
      <c r="C5" s="470"/>
      <c r="D5" s="470"/>
      <c r="F5" s="471" t="s">
        <v>143</v>
      </c>
    </row>
    <row r="6" spans="1:57" s="474" customFormat="1" ht="33.450000000000003" customHeight="1">
      <c r="A6" s="472"/>
      <c r="B6" s="473"/>
      <c r="C6" s="473" t="s">
        <v>42</v>
      </c>
      <c r="D6" s="472" t="s">
        <v>654</v>
      </c>
      <c r="E6" s="472" t="s">
        <v>515</v>
      </c>
      <c r="F6" s="472" t="s">
        <v>587</v>
      </c>
      <c r="G6" s="472" t="s">
        <v>655</v>
      </c>
    </row>
    <row r="7" spans="1:57" s="468" customFormat="1" ht="9" customHeight="1">
      <c r="A7" s="475"/>
      <c r="B7" s="476"/>
      <c r="C7" s="476"/>
      <c r="D7" s="475"/>
      <c r="E7" s="475"/>
      <c r="F7" s="475"/>
      <c r="G7" s="475"/>
    </row>
    <row r="8" spans="1:57" s="468" customFormat="1" ht="19.05" customHeight="1">
      <c r="A8" s="477">
        <v>1</v>
      </c>
      <c r="B8" s="478" t="s">
        <v>589</v>
      </c>
      <c r="C8" s="479" t="s">
        <v>43</v>
      </c>
      <c r="D8" s="452">
        <v>745613.64397142164</v>
      </c>
      <c r="E8" s="455">
        <v>402556</v>
      </c>
      <c r="F8" s="452">
        <v>824914.5204297764</v>
      </c>
      <c r="G8" s="453">
        <f>+F8-D8</f>
        <v>79300.87645835476</v>
      </c>
      <c r="H8" s="480"/>
      <c r="I8" s="481"/>
      <c r="J8" s="481"/>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row>
    <row r="9" spans="1:57" s="468" customFormat="1" ht="19.05" customHeight="1">
      <c r="A9" s="477">
        <f t="shared" ref="A9:A18" si="0">A8+1</f>
        <v>2</v>
      </c>
      <c r="B9" s="479" t="s">
        <v>590</v>
      </c>
      <c r="C9" s="479" t="s">
        <v>44</v>
      </c>
      <c r="D9" s="452">
        <v>264416</v>
      </c>
      <c r="E9" s="455">
        <v>158676</v>
      </c>
      <c r="F9" s="452">
        <v>319034.01203779905</v>
      </c>
      <c r="G9" s="453">
        <f t="shared" ref="G9:G20" si="1">+F9-D9</f>
        <v>54618.012037799053</v>
      </c>
      <c r="H9" s="480"/>
      <c r="I9" s="481"/>
      <c r="J9" s="481"/>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row>
    <row r="10" spans="1:57" s="468" customFormat="1" ht="15.6">
      <c r="A10" s="477">
        <f t="shared" si="0"/>
        <v>3</v>
      </c>
      <c r="B10" s="479" t="s">
        <v>591</v>
      </c>
      <c r="C10" s="479" t="s">
        <v>173</v>
      </c>
      <c r="D10" s="452">
        <v>117469</v>
      </c>
      <c r="E10" s="455">
        <v>57526</v>
      </c>
      <c r="F10" s="452">
        <v>124213.79218059829</v>
      </c>
      <c r="G10" s="453">
        <f t="shared" si="1"/>
        <v>6744.7921805982915</v>
      </c>
      <c r="H10" s="480"/>
      <c r="I10" s="481"/>
      <c r="J10" s="481"/>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row>
    <row r="11" spans="1:57" s="484" customFormat="1" ht="19.05" customHeight="1">
      <c r="A11" s="477">
        <f t="shared" si="0"/>
        <v>4</v>
      </c>
      <c r="B11" s="479" t="s">
        <v>592</v>
      </c>
      <c r="C11" s="479" t="s">
        <v>45</v>
      </c>
      <c r="D11" s="452">
        <v>149464</v>
      </c>
      <c r="E11" s="455">
        <v>80797</v>
      </c>
      <c r="F11" s="452">
        <v>168541.47247347192</v>
      </c>
      <c r="G11" s="453">
        <f t="shared" si="1"/>
        <v>19077.47247347192</v>
      </c>
      <c r="H11" s="482"/>
      <c r="I11" s="483"/>
      <c r="J11" s="483"/>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row>
    <row r="12" spans="1:57" s="468" customFormat="1" ht="19.05" customHeight="1">
      <c r="A12" s="477">
        <f t="shared" si="0"/>
        <v>5</v>
      </c>
      <c r="B12" s="479" t="s">
        <v>593</v>
      </c>
      <c r="C12" s="479" t="s">
        <v>174</v>
      </c>
      <c r="D12" s="452">
        <v>96965</v>
      </c>
      <c r="E12" s="455">
        <v>42727</v>
      </c>
      <c r="F12" s="452">
        <v>89464.269771841864</v>
      </c>
      <c r="G12" s="453">
        <f t="shared" si="1"/>
        <v>-7500.730228158136</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row>
    <row r="13" spans="1:57" s="487" customFormat="1" ht="19.05" customHeight="1">
      <c r="A13" s="485">
        <f t="shared" si="0"/>
        <v>6</v>
      </c>
      <c r="B13" s="479" t="s">
        <v>594</v>
      </c>
      <c r="C13" s="479" t="s">
        <v>175</v>
      </c>
      <c r="D13" s="459">
        <v>28</v>
      </c>
      <c r="E13" s="458">
        <v>24.951222479999998</v>
      </c>
      <c r="F13" s="459">
        <v>27.554472878957466</v>
      </c>
      <c r="G13" s="460">
        <f t="shared" si="1"/>
        <v>-0.44552712104253445</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row>
    <row r="14" spans="1:57" s="468" customFormat="1" ht="19.05" customHeight="1">
      <c r="A14" s="477">
        <f t="shared" si="0"/>
        <v>7</v>
      </c>
      <c r="B14" s="479" t="s">
        <v>595</v>
      </c>
      <c r="C14" s="479" t="s">
        <v>235</v>
      </c>
      <c r="D14" s="452">
        <v>28252.411407933454</v>
      </c>
      <c r="E14" s="455">
        <v>25714</v>
      </c>
      <c r="F14" s="454">
        <v>24774.39807440307</v>
      </c>
      <c r="G14" s="453">
        <f t="shared" si="1"/>
        <v>-3478.0133335303835</v>
      </c>
      <c r="H14" s="480" t="s">
        <v>143</v>
      </c>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row>
    <row r="15" spans="1:57" s="487" customFormat="1" ht="19.05" customHeight="1">
      <c r="A15" s="485">
        <f t="shared" si="0"/>
        <v>8</v>
      </c>
      <c r="B15" s="479" t="s">
        <v>596</v>
      </c>
      <c r="C15" s="479" t="s">
        <v>550</v>
      </c>
      <c r="D15" s="452">
        <v>16308</v>
      </c>
      <c r="E15" s="455">
        <v>14380.209727205756</v>
      </c>
      <c r="F15" s="452">
        <v>14191.896811600647</v>
      </c>
      <c r="G15" s="452">
        <f t="shared" si="1"/>
        <v>-2116.1031883993528</v>
      </c>
      <c r="H15" s="486" t="s">
        <v>143</v>
      </c>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row>
    <row r="16" spans="1:57" s="484" customFormat="1" ht="19.05" customHeight="1">
      <c r="A16" s="477">
        <f t="shared" si="0"/>
        <v>9</v>
      </c>
      <c r="B16" s="479" t="s">
        <v>597</v>
      </c>
      <c r="C16" s="479" t="s">
        <v>551</v>
      </c>
      <c r="D16" s="452">
        <v>54844</v>
      </c>
      <c r="E16" s="455">
        <v>54079.151686701087</v>
      </c>
      <c r="F16" s="452">
        <v>54211.932909090734</v>
      </c>
      <c r="G16" s="452">
        <f t="shared" si="1"/>
        <v>-632.06709090926597</v>
      </c>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row>
    <row r="17" spans="1:57" s="484" customFormat="1" ht="19.05" customHeight="1">
      <c r="A17" s="477">
        <f t="shared" si="0"/>
        <v>10</v>
      </c>
      <c r="B17" s="479" t="s">
        <v>598</v>
      </c>
      <c r="C17" s="479" t="s">
        <v>552</v>
      </c>
      <c r="D17" s="452">
        <v>8240</v>
      </c>
      <c r="E17" s="455">
        <v>6208</v>
      </c>
      <c r="F17" s="452">
        <v>5277</v>
      </c>
      <c r="G17" s="452">
        <f t="shared" si="1"/>
        <v>-2963</v>
      </c>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row>
    <row r="18" spans="1:57" s="484" customFormat="1" ht="19.05" customHeight="1">
      <c r="A18" s="477">
        <f t="shared" si="0"/>
        <v>11</v>
      </c>
      <c r="B18" s="479" t="s">
        <v>599</v>
      </c>
      <c r="C18" s="479" t="s">
        <v>553</v>
      </c>
      <c r="D18" s="452">
        <v>9870</v>
      </c>
      <c r="E18" s="455">
        <v>6291.136802562748</v>
      </c>
      <c r="F18" s="452">
        <v>6700</v>
      </c>
      <c r="G18" s="452">
        <f t="shared" si="1"/>
        <v>-3170</v>
      </c>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row>
    <row r="19" spans="1:57" s="484" customFormat="1" ht="15.6">
      <c r="A19" s="477">
        <v>12</v>
      </c>
      <c r="B19" s="479" t="s">
        <v>600</v>
      </c>
      <c r="C19" s="488" t="s">
        <v>382</v>
      </c>
      <c r="D19" s="466">
        <v>1.8</v>
      </c>
      <c r="E19" s="458">
        <v>2.0150000000000001</v>
      </c>
      <c r="F19" s="452">
        <v>1.75</v>
      </c>
      <c r="G19" s="452">
        <f t="shared" si="1"/>
        <v>-5.0000000000000044E-2</v>
      </c>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row>
    <row r="20" spans="1:57" s="484" customFormat="1" ht="15.6">
      <c r="A20" s="477">
        <f t="shared" ref="A20" si="2">A19+1</f>
        <v>13</v>
      </c>
      <c r="B20" s="479" t="s">
        <v>601</v>
      </c>
      <c r="C20" s="489" t="s">
        <v>383</v>
      </c>
      <c r="D20" s="456">
        <v>34377.030072356247</v>
      </c>
      <c r="E20" s="457">
        <v>7505</v>
      </c>
      <c r="F20" s="456">
        <v>34377.030072356247</v>
      </c>
      <c r="G20" s="456">
        <f t="shared" si="1"/>
        <v>0</v>
      </c>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row>
    <row r="21" spans="1:57" ht="15.6">
      <c r="A21" s="490"/>
      <c r="B21" s="490"/>
      <c r="C21" s="491"/>
      <c r="D21" s="397"/>
      <c r="E21" s="398"/>
      <c r="F21" s="398"/>
      <c r="G21" s="398"/>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row>
    <row r="22" spans="1:57" ht="24.75" customHeight="1">
      <c r="A22" s="494" t="s">
        <v>602</v>
      </c>
      <c r="B22" s="494"/>
      <c r="C22" s="495" t="s">
        <v>603</v>
      </c>
      <c r="D22" s="421"/>
      <c r="E22" s="398"/>
      <c r="F22" s="398"/>
      <c r="G22" s="398"/>
    </row>
    <row r="23" spans="1:57" ht="15.6">
      <c r="A23" s="494" t="s">
        <v>604</v>
      </c>
      <c r="B23" s="494"/>
      <c r="C23" s="491" t="s">
        <v>605</v>
      </c>
      <c r="D23" s="421"/>
      <c r="E23" s="398"/>
      <c r="F23" s="398"/>
      <c r="G23" s="398"/>
    </row>
    <row r="24" spans="1:57" ht="15.6">
      <c r="A24" s="494"/>
      <c r="B24" s="494"/>
      <c r="C24" s="496"/>
    </row>
    <row r="25" spans="1:57" ht="15.6">
      <c r="A25" s="498"/>
      <c r="B25" s="498"/>
      <c r="C25" s="653" t="s">
        <v>606</v>
      </c>
      <c r="D25" s="653"/>
      <c r="E25" s="653"/>
    </row>
    <row r="27" spans="1:57">
      <c r="E27" s="499"/>
    </row>
  </sheetData>
  <mergeCells count="5">
    <mergeCell ref="A1:G1"/>
    <mergeCell ref="A2:G2"/>
    <mergeCell ref="A3:G3"/>
    <mergeCell ref="A4:G4"/>
    <mergeCell ref="C25:E25"/>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5" t="s">
        <v>3</v>
      </c>
      <c r="B1" s="655"/>
      <c r="C1" s="655"/>
      <c r="D1" s="43"/>
      <c r="E1" s="43"/>
      <c r="F1" s="43"/>
      <c r="G1" s="43"/>
      <c r="H1" s="43"/>
      <c r="I1" s="43"/>
      <c r="J1" s="43"/>
      <c r="K1" s="43"/>
      <c r="L1" s="43"/>
      <c r="M1" s="44"/>
      <c r="N1" s="45"/>
      <c r="O1" s="46"/>
      <c r="P1" s="46"/>
    </row>
    <row r="2" spans="1:16" s="9" customFormat="1" ht="15.6">
      <c r="A2" s="656" t="s">
        <v>181</v>
      </c>
      <c r="B2" s="656"/>
      <c r="C2" s="656"/>
      <c r="D2" s="47"/>
      <c r="E2" s="47"/>
      <c r="F2" s="47"/>
      <c r="G2" s="47"/>
      <c r="H2" s="47"/>
      <c r="I2" s="47"/>
      <c r="J2" s="47"/>
      <c r="K2" s="47"/>
      <c r="L2" s="47"/>
      <c r="M2" s="48"/>
      <c r="N2" s="49"/>
      <c r="O2" s="50"/>
      <c r="P2" s="50"/>
    </row>
    <row r="3" spans="1:16" s="9" customFormat="1" ht="15.6">
      <c r="A3" s="654" t="s">
        <v>180</v>
      </c>
      <c r="B3" s="654"/>
      <c r="C3" s="654"/>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C15" sqref="C15"/>
    </sheetView>
  </sheetViews>
  <sheetFormatPr defaultColWidth="8.88671875" defaultRowHeight="13.2"/>
  <cols>
    <col min="1" max="1" width="73.33203125" style="412" bestFit="1" customWidth="1"/>
    <col min="2" max="2" width="25.88671875" style="411" customWidth="1"/>
    <col min="3" max="3" width="20.6640625" style="412" customWidth="1"/>
    <col min="4" max="5" width="24.88671875" style="412" bestFit="1" customWidth="1"/>
    <col min="6" max="16384" width="8.88671875" style="412"/>
  </cols>
  <sheetData>
    <row r="1" spans="1:10" s="269" customFormat="1" ht="16.5" customHeight="1">
      <c r="A1" s="657" t="s">
        <v>3</v>
      </c>
      <c r="B1" s="657"/>
      <c r="C1" s="657"/>
      <c r="D1" s="657"/>
      <c r="E1" s="657"/>
      <c r="F1" s="657"/>
      <c r="G1" s="657"/>
      <c r="H1" s="408"/>
      <c r="I1" s="408"/>
      <c r="J1" s="408"/>
    </row>
    <row r="2" spans="1:10" s="269" customFormat="1" ht="16.5" customHeight="1">
      <c r="A2" s="657" t="s">
        <v>516</v>
      </c>
      <c r="B2" s="657"/>
      <c r="C2" s="657"/>
      <c r="D2" s="657"/>
      <c r="E2" s="657"/>
      <c r="F2" s="657"/>
      <c r="G2" s="657"/>
      <c r="H2" s="408"/>
      <c r="I2" s="408"/>
      <c r="J2" s="408"/>
    </row>
    <row r="3" spans="1:10" s="269" customFormat="1" ht="16.5" customHeight="1">
      <c r="A3" s="658" t="s">
        <v>614</v>
      </c>
      <c r="B3" s="658"/>
      <c r="C3" s="658"/>
      <c r="D3" s="658"/>
      <c r="E3" s="658"/>
      <c r="F3" s="658"/>
      <c r="G3" s="658"/>
      <c r="H3" s="408"/>
      <c r="I3" s="408"/>
      <c r="J3" s="408"/>
    </row>
    <row r="5" spans="1:10" ht="15.6">
      <c r="A5" s="409" t="s">
        <v>298</v>
      </c>
      <c r="B5" s="407"/>
      <c r="C5" s="407" t="s">
        <v>299</v>
      </c>
      <c r="D5" s="410"/>
      <c r="E5" s="411"/>
    </row>
    <row r="6" spans="1:10" ht="16.2" thickBot="1">
      <c r="A6" s="507" t="s">
        <v>300</v>
      </c>
      <c r="B6" s="508"/>
      <c r="C6" s="508" t="s">
        <v>301</v>
      </c>
      <c r="D6" s="508" t="s">
        <v>302</v>
      </c>
      <c r="E6" s="508" t="s">
        <v>303</v>
      </c>
    </row>
    <row r="7" spans="1:10" ht="47.4" thickTop="1">
      <c r="A7" s="413" t="s">
        <v>608</v>
      </c>
      <c r="B7" s="414" t="s">
        <v>607</v>
      </c>
      <c r="C7" s="505">
        <v>44592</v>
      </c>
      <c r="D7" s="506" t="s">
        <v>633</v>
      </c>
      <c r="E7" s="506" t="s">
        <v>633</v>
      </c>
    </row>
    <row r="8" spans="1:10" ht="15.6">
      <c r="A8" s="413"/>
      <c r="B8" s="414"/>
      <c r="C8" s="415"/>
      <c r="D8" s="414"/>
      <c r="E8" s="414"/>
      <c r="F8" s="413"/>
    </row>
    <row r="9" spans="1:10" ht="15.6">
      <c r="A9" s="413"/>
      <c r="B9" s="414"/>
      <c r="C9" s="415"/>
      <c r="D9" s="414"/>
      <c r="E9" s="414"/>
    </row>
    <row r="10" spans="1:10" ht="15.6">
      <c r="A10" s="413"/>
      <c r="B10" s="414"/>
      <c r="C10" s="415"/>
      <c r="D10" s="414"/>
      <c r="E10" s="414"/>
      <c r="G10" s="413"/>
    </row>
    <row r="11" spans="1:10" ht="15.6">
      <c r="A11" s="413"/>
      <c r="B11" s="414"/>
      <c r="C11" s="415"/>
      <c r="D11" s="414"/>
      <c r="E11" s="414"/>
    </row>
    <row r="12" spans="1:10" ht="15.6">
      <c r="A12" s="413"/>
      <c r="B12" s="414"/>
      <c r="C12" s="415"/>
      <c r="D12" s="414"/>
      <c r="E12" s="414"/>
    </row>
    <row r="13" spans="1:10" ht="15.6">
      <c r="A13" s="413"/>
      <c r="B13" s="414"/>
      <c r="C13" s="415"/>
      <c r="D13" s="414"/>
      <c r="E13" s="414"/>
      <c r="G13" s="413"/>
    </row>
    <row r="14" spans="1:10" ht="15.6">
      <c r="A14" s="413"/>
      <c r="B14" s="414"/>
      <c r="C14" s="415"/>
      <c r="D14" s="414"/>
      <c r="E14" s="414"/>
    </row>
    <row r="15" spans="1:10" ht="15.6">
      <c r="A15" s="413"/>
      <c r="B15" s="414"/>
      <c r="C15" s="415"/>
      <c r="D15" s="414"/>
      <c r="E15" s="414"/>
    </row>
    <row r="16" spans="1:10" ht="15.6">
      <c r="A16" s="413"/>
      <c r="B16" s="414"/>
      <c r="C16" s="415"/>
      <c r="D16" s="414"/>
      <c r="E16" s="414"/>
    </row>
    <row r="17" spans="1:5" ht="15.6">
      <c r="A17" s="413"/>
      <c r="B17" s="414"/>
      <c r="C17" s="415"/>
      <c r="D17" s="414"/>
      <c r="E17" s="414"/>
    </row>
    <row r="18" spans="1:5" ht="15.6">
      <c r="A18" s="413"/>
      <c r="B18" s="414"/>
      <c r="C18" s="415"/>
      <c r="D18" s="414"/>
      <c r="E18" s="414"/>
    </row>
    <row r="19" spans="1:5" ht="15.6">
      <c r="A19" s="413"/>
      <c r="B19" s="414"/>
      <c r="C19" s="415"/>
      <c r="D19" s="414"/>
      <c r="E19" s="414"/>
    </row>
    <row r="20" spans="1:5" ht="15.6">
      <c r="A20" s="413"/>
      <c r="B20" s="414"/>
      <c r="C20" s="415"/>
      <c r="D20" s="414"/>
      <c r="E20" s="414"/>
    </row>
    <row r="21" spans="1:5" ht="15.6">
      <c r="A21" s="413"/>
      <c r="B21" s="414"/>
      <c r="C21" s="415"/>
      <c r="D21" s="414"/>
      <c r="E21" s="414"/>
    </row>
    <row r="22" spans="1:5" ht="15.6">
      <c r="A22" s="413"/>
      <c r="B22" s="414"/>
      <c r="C22" s="415"/>
      <c r="D22" s="414"/>
      <c r="E22" s="414"/>
    </row>
    <row r="23" spans="1:5" ht="15.6">
      <c r="A23" s="413"/>
      <c r="B23" s="414"/>
      <c r="C23" s="415"/>
      <c r="D23" s="414"/>
      <c r="E23" s="414"/>
    </row>
    <row r="24" spans="1:5" ht="15.6">
      <c r="A24" s="413"/>
      <c r="B24" s="414"/>
      <c r="C24" s="415"/>
      <c r="D24" s="414"/>
      <c r="E24" s="414"/>
    </row>
    <row r="25" spans="1:5" ht="15.6">
      <c r="A25" s="413"/>
      <c r="B25" s="414"/>
      <c r="C25" s="415"/>
      <c r="D25" s="414"/>
      <c r="E25" s="414"/>
    </row>
    <row r="26" spans="1:5" ht="15.6">
      <c r="A26" s="413"/>
      <c r="B26" s="414"/>
      <c r="C26" s="415"/>
      <c r="D26" s="414"/>
      <c r="E26" s="414"/>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BF98-7FE6-4315-A11E-382077C0A26A}">
  <sheetPr>
    <tabColor theme="0"/>
  </sheetPr>
  <dimension ref="A1:BS58"/>
  <sheetViews>
    <sheetView zoomScale="60" zoomScaleNormal="60" workbookViewId="0">
      <pane xSplit="3" ySplit="7" topLeftCell="BF14" activePane="bottomRight" state="frozen"/>
      <selection activeCell="BB57" sqref="BB57"/>
      <selection pane="topRight" activeCell="BB57" sqref="BB57"/>
      <selection pane="bottomLeft" activeCell="BB57" sqref="BB57"/>
      <selection pane="bottomRight" activeCell="B35" sqref="B35"/>
    </sheetView>
  </sheetViews>
  <sheetFormatPr defaultRowHeight="16.2"/>
  <cols>
    <col min="1" max="1" width="15.5546875" style="541" customWidth="1"/>
    <col min="2" max="2" width="18.6640625" style="541" customWidth="1"/>
    <col min="3" max="3" width="84.44140625" style="541" customWidth="1"/>
    <col min="4" max="4" width="17" style="542" bestFit="1" customWidth="1"/>
    <col min="5" max="5" width="16" style="542" bestFit="1" customWidth="1"/>
    <col min="6" max="6" width="16.44140625" style="542" bestFit="1" customWidth="1"/>
    <col min="7" max="7" width="16.21875" style="542" bestFit="1" customWidth="1"/>
    <col min="8" max="11" width="16" style="542" bestFit="1" customWidth="1"/>
    <col min="12" max="12" width="16.5546875" style="542" bestFit="1" customWidth="1"/>
    <col min="13" max="15" width="17.33203125" style="542" bestFit="1" customWidth="1"/>
    <col min="16" max="16" width="18.88671875" style="542" customWidth="1"/>
    <col min="17" max="17" width="20.88671875" style="541" bestFit="1" customWidth="1"/>
    <col min="18" max="18" width="17" style="542" bestFit="1" customWidth="1"/>
    <col min="19" max="28" width="17.33203125" style="542" bestFit="1" customWidth="1"/>
    <col min="29" max="29" width="18.33203125" style="542" bestFit="1" customWidth="1"/>
    <col min="30" max="30" width="18.88671875" style="542" customWidth="1"/>
    <col min="31" max="31" width="18.88671875" style="541" bestFit="1" customWidth="1"/>
    <col min="32" max="32" width="17.44140625" style="542" bestFit="1" customWidth="1"/>
    <col min="33" max="41" width="17.33203125" style="542" bestFit="1" customWidth="1"/>
    <col min="42" max="43" width="17.88671875" style="542" bestFit="1" customWidth="1"/>
    <col min="44" max="44" width="17.88671875" style="542" customWidth="1"/>
    <col min="45" max="45" width="18.88671875" style="541" bestFit="1" customWidth="1"/>
    <col min="46" max="46" width="17.44140625" style="542" bestFit="1" customWidth="1"/>
    <col min="47" max="48" width="17.33203125" style="542" bestFit="1" customWidth="1"/>
    <col min="49" max="49" width="17.88671875" style="542" bestFit="1" customWidth="1"/>
    <col min="50" max="55" width="17.33203125" style="542" bestFit="1" customWidth="1"/>
    <col min="56" max="57" width="17.88671875" style="542" bestFit="1" customWidth="1"/>
    <col min="58" max="58" width="18.88671875" style="541" bestFit="1" customWidth="1"/>
    <col min="59" max="59" width="17.44140625" style="542" bestFit="1" customWidth="1"/>
    <col min="60" max="68" width="17.33203125" style="542" bestFit="1" customWidth="1"/>
    <col min="69" max="70" width="17.88671875" style="542" bestFit="1" customWidth="1"/>
    <col min="71" max="71" width="18.88671875" style="541" bestFit="1" customWidth="1"/>
    <col min="72" max="16384" width="8.88671875" style="542"/>
  </cols>
  <sheetData>
    <row r="1" spans="1:71">
      <c r="A1" s="541" t="s">
        <v>305</v>
      </c>
    </row>
    <row r="2" spans="1:71">
      <c r="A2" s="541" t="s">
        <v>387</v>
      </c>
    </row>
    <row r="3" spans="1:71">
      <c r="A3" s="541" t="s">
        <v>585</v>
      </c>
      <c r="D3" s="543"/>
      <c r="E3" s="543"/>
      <c r="F3" s="543"/>
      <c r="G3" s="543"/>
      <c r="H3" s="543"/>
      <c r="I3" s="543"/>
      <c r="J3" s="543"/>
      <c r="K3" s="543"/>
      <c r="L3" s="543"/>
      <c r="M3" s="543"/>
      <c r="N3" s="543"/>
      <c r="O3" s="544"/>
      <c r="P3" s="544"/>
      <c r="Q3" s="544"/>
      <c r="R3" s="543"/>
      <c r="S3" s="543"/>
      <c r="T3" s="543"/>
      <c r="U3" s="543"/>
      <c r="V3" s="543"/>
      <c r="W3" s="543"/>
      <c r="X3" s="543"/>
      <c r="Y3" s="543"/>
      <c r="Z3" s="543"/>
      <c r="AA3" s="543"/>
      <c r="AB3" s="543"/>
      <c r="AC3" s="544"/>
      <c r="AD3" s="544"/>
      <c r="AE3" s="544"/>
      <c r="AF3" s="543"/>
      <c r="AG3" s="543"/>
      <c r="AH3" s="543"/>
      <c r="AI3" s="543"/>
      <c r="AJ3" s="543"/>
      <c r="AK3" s="543"/>
      <c r="AL3" s="543"/>
      <c r="AM3" s="543"/>
      <c r="AN3" s="543"/>
      <c r="AO3" s="543"/>
      <c r="AP3" s="543"/>
      <c r="AQ3" s="544"/>
      <c r="AR3" s="544"/>
      <c r="AS3" s="544"/>
      <c r="AT3" s="543"/>
      <c r="AU3" s="543"/>
      <c r="AV3" s="543"/>
      <c r="AW3" s="543"/>
      <c r="AX3" s="543"/>
      <c r="AY3" s="543"/>
      <c r="AZ3" s="543"/>
      <c r="BA3" s="543"/>
      <c r="BB3" s="543"/>
      <c r="BC3" s="543"/>
      <c r="BD3" s="543"/>
      <c r="BE3" s="544"/>
      <c r="BF3" s="544"/>
      <c r="BG3" s="543"/>
      <c r="BH3" s="543"/>
      <c r="BI3" s="543"/>
      <c r="BJ3" s="543"/>
      <c r="BK3" s="543"/>
      <c r="BL3" s="543"/>
      <c r="BM3" s="543"/>
      <c r="BN3" s="543"/>
      <c r="BO3" s="543"/>
      <c r="BP3" s="543"/>
      <c r="BQ3" s="543"/>
      <c r="BR3" s="544"/>
      <c r="BS3" s="544"/>
    </row>
    <row r="4" spans="1:71">
      <c r="A4" s="541" t="s">
        <v>650</v>
      </c>
      <c r="D4" s="545"/>
      <c r="E4" s="543"/>
      <c r="F4" s="543"/>
      <c r="G4" s="543"/>
      <c r="H4" s="543"/>
      <c r="I4" s="543"/>
      <c r="J4" s="543"/>
      <c r="K4" s="543"/>
      <c r="L4" s="543"/>
      <c r="M4" s="543"/>
      <c r="N4" s="543"/>
      <c r="O4" s="543"/>
      <c r="P4" s="543"/>
      <c r="Q4" s="546"/>
      <c r="R4" s="545"/>
      <c r="S4" s="543"/>
      <c r="T4" s="543"/>
      <c r="U4" s="543"/>
      <c r="V4" s="543"/>
      <c r="W4" s="543"/>
      <c r="X4" s="543"/>
      <c r="Y4" s="543"/>
      <c r="Z4" s="543"/>
      <c r="AA4" s="543"/>
      <c r="AB4" s="543"/>
      <c r="AC4" s="543"/>
      <c r="AD4" s="543"/>
      <c r="AE4" s="546"/>
      <c r="AF4" s="545"/>
      <c r="AG4" s="543"/>
      <c r="AH4" s="543"/>
      <c r="AI4" s="543"/>
      <c r="AJ4" s="543"/>
      <c r="AK4" s="543"/>
      <c r="AL4" s="543"/>
      <c r="AM4" s="543"/>
      <c r="AN4" s="543"/>
      <c r="AO4" s="543"/>
      <c r="AP4" s="543"/>
      <c r="AQ4" s="543"/>
      <c r="AR4" s="543"/>
      <c r="AS4" s="546"/>
      <c r="AT4" s="545"/>
      <c r="AU4" s="543"/>
      <c r="AV4" s="543"/>
      <c r="AW4" s="543"/>
      <c r="AX4" s="543"/>
      <c r="AY4" s="543"/>
      <c r="AZ4" s="543"/>
      <c r="BA4" s="543"/>
      <c r="BB4" s="543"/>
      <c r="BC4" s="543"/>
      <c r="BD4" s="543"/>
      <c r="BE4" s="543"/>
      <c r="BF4" s="546"/>
      <c r="BG4" s="545"/>
      <c r="BH4" s="543"/>
      <c r="BI4" s="543"/>
      <c r="BJ4" s="543"/>
      <c r="BK4" s="543"/>
      <c r="BL4" s="543"/>
      <c r="BM4" s="543"/>
      <c r="BN4" s="543"/>
      <c r="BO4" s="543"/>
      <c r="BP4" s="543"/>
      <c r="BQ4" s="543"/>
      <c r="BR4" s="543"/>
      <c r="BS4" s="546"/>
    </row>
    <row r="5" spans="1:71" ht="16.8" thickBot="1">
      <c r="A5" s="541" t="s">
        <v>651</v>
      </c>
      <c r="D5" s="543"/>
      <c r="E5" s="543"/>
      <c r="F5" s="543"/>
      <c r="G5" s="543"/>
      <c r="H5" s="543"/>
      <c r="I5" s="543"/>
      <c r="J5" s="543"/>
      <c r="K5" s="543"/>
      <c r="L5" s="543"/>
      <c r="M5" s="543"/>
      <c r="N5" s="543"/>
      <c r="O5" s="543"/>
      <c r="P5" s="543"/>
      <c r="Q5" s="546"/>
      <c r="R5" s="543"/>
      <c r="S5" s="543"/>
      <c r="T5" s="543"/>
      <c r="U5" s="543"/>
      <c r="V5" s="543"/>
      <c r="W5" s="543"/>
      <c r="X5" s="543"/>
      <c r="Y5" s="543"/>
      <c r="Z5" s="543"/>
      <c r="AA5" s="543"/>
      <c r="AB5" s="543"/>
      <c r="AC5" s="543"/>
      <c r="AD5" s="543"/>
      <c r="AE5" s="546"/>
      <c r="AF5" s="543"/>
      <c r="AG5" s="543"/>
      <c r="AH5" s="543"/>
      <c r="AI5" s="543"/>
      <c r="AJ5" s="543"/>
      <c r="AK5" s="543"/>
      <c r="AL5" s="543"/>
      <c r="AM5" s="543"/>
      <c r="AN5" s="543"/>
      <c r="AO5" s="543"/>
      <c r="AP5" s="543"/>
      <c r="AQ5" s="543"/>
      <c r="AR5" s="543"/>
      <c r="AS5" s="546"/>
      <c r="AT5" s="543"/>
      <c r="AU5" s="543"/>
      <c r="AV5" s="543"/>
      <c r="AW5" s="543"/>
      <c r="AX5" s="543"/>
      <c r="AY5" s="543"/>
      <c r="AZ5" s="543"/>
      <c r="BA5" s="543"/>
      <c r="BB5" s="543"/>
      <c r="BC5" s="543"/>
      <c r="BD5" s="543"/>
      <c r="BE5" s="543"/>
      <c r="BF5" s="546"/>
      <c r="BG5" s="543"/>
      <c r="BH5" s="543"/>
      <c r="BI5" s="543"/>
      <c r="BJ5" s="543"/>
      <c r="BK5" s="543"/>
      <c r="BL5" s="543"/>
      <c r="BM5" s="543"/>
      <c r="BN5" s="543"/>
      <c r="BO5" s="543"/>
      <c r="BP5" s="543"/>
      <c r="BQ5" s="543"/>
      <c r="BR5" s="543"/>
      <c r="BS5" s="546"/>
    </row>
    <row r="6" spans="1:71" s="541" customFormat="1" ht="16.8" thickBot="1">
      <c r="D6" s="547" t="s">
        <v>307</v>
      </c>
      <c r="E6" s="548"/>
      <c r="F6" s="548"/>
      <c r="G6" s="548"/>
      <c r="H6" s="548"/>
      <c r="I6" s="548"/>
      <c r="J6" s="548"/>
      <c r="K6" s="548"/>
      <c r="L6" s="548"/>
      <c r="M6" s="548"/>
      <c r="N6" s="548"/>
      <c r="O6" s="548"/>
      <c r="P6" s="548"/>
      <c r="Q6" s="549"/>
      <c r="R6" s="547" t="s">
        <v>385</v>
      </c>
      <c r="S6" s="548"/>
      <c r="T6" s="548"/>
      <c r="U6" s="548"/>
      <c r="V6" s="548"/>
      <c r="W6" s="548"/>
      <c r="X6" s="548"/>
      <c r="Y6" s="548"/>
      <c r="Z6" s="548"/>
      <c r="AA6" s="548"/>
      <c r="AB6" s="548"/>
      <c r="AC6" s="548"/>
      <c r="AD6" s="548"/>
      <c r="AE6" s="549"/>
      <c r="AF6" s="547" t="s">
        <v>390</v>
      </c>
      <c r="AG6" s="548"/>
      <c r="AH6" s="548"/>
      <c r="AI6" s="548"/>
      <c r="AJ6" s="548"/>
      <c r="AK6" s="548"/>
      <c r="AL6" s="548"/>
      <c r="AM6" s="548"/>
      <c r="AN6" s="548"/>
      <c r="AO6" s="548"/>
      <c r="AP6" s="548"/>
      <c r="AQ6" s="548"/>
      <c r="AR6" s="548"/>
      <c r="AS6" s="549"/>
      <c r="AT6" s="547" t="s">
        <v>559</v>
      </c>
      <c r="AU6" s="548"/>
      <c r="AV6" s="548"/>
      <c r="AW6" s="548"/>
      <c r="AX6" s="548"/>
      <c r="AY6" s="548"/>
      <c r="AZ6" s="548"/>
      <c r="BA6" s="548"/>
      <c r="BB6" s="548"/>
      <c r="BC6" s="548"/>
      <c r="BD6" s="548"/>
      <c r="BE6" s="548"/>
      <c r="BF6" s="549"/>
      <c r="BG6" s="547" t="s">
        <v>560</v>
      </c>
      <c r="BH6" s="548"/>
      <c r="BI6" s="548"/>
      <c r="BJ6" s="548"/>
      <c r="BK6" s="548"/>
      <c r="BL6" s="548"/>
      <c r="BM6" s="548"/>
      <c r="BN6" s="548"/>
      <c r="BO6" s="548"/>
      <c r="BP6" s="548"/>
      <c r="BQ6" s="548"/>
      <c r="BR6" s="548"/>
      <c r="BS6" s="549"/>
    </row>
    <row r="7" spans="1:71" s="541" customFormat="1">
      <c r="A7" s="550"/>
      <c r="B7" s="551" t="s">
        <v>308</v>
      </c>
      <c r="C7" s="552" t="s">
        <v>309</v>
      </c>
      <c r="D7" s="553" t="s">
        <v>310</v>
      </c>
      <c r="E7" s="554" t="s">
        <v>311</v>
      </c>
      <c r="F7" s="554" t="s">
        <v>312</v>
      </c>
      <c r="G7" s="554" t="s">
        <v>313</v>
      </c>
      <c r="H7" s="554" t="s">
        <v>314</v>
      </c>
      <c r="I7" s="554" t="s">
        <v>315</v>
      </c>
      <c r="J7" s="554" t="s">
        <v>316</v>
      </c>
      <c r="K7" s="554" t="s">
        <v>317</v>
      </c>
      <c r="L7" s="554" t="s">
        <v>318</v>
      </c>
      <c r="M7" s="554" t="s">
        <v>319</v>
      </c>
      <c r="N7" s="554" t="s">
        <v>320</v>
      </c>
      <c r="O7" s="554" t="s">
        <v>321</v>
      </c>
      <c r="P7" s="554" t="s">
        <v>373</v>
      </c>
      <c r="Q7" s="555" t="s">
        <v>322</v>
      </c>
      <c r="R7" s="553" t="s">
        <v>310</v>
      </c>
      <c r="S7" s="554" t="s">
        <v>311</v>
      </c>
      <c r="T7" s="554" t="s">
        <v>312</v>
      </c>
      <c r="U7" s="554" t="s">
        <v>313</v>
      </c>
      <c r="V7" s="554" t="s">
        <v>314</v>
      </c>
      <c r="W7" s="554" t="s">
        <v>315</v>
      </c>
      <c r="X7" s="554" t="s">
        <v>316</v>
      </c>
      <c r="Y7" s="554" t="s">
        <v>317</v>
      </c>
      <c r="Z7" s="554" t="s">
        <v>318</v>
      </c>
      <c r="AA7" s="554" t="s">
        <v>319</v>
      </c>
      <c r="AB7" s="554" t="s">
        <v>320</v>
      </c>
      <c r="AC7" s="554" t="s">
        <v>321</v>
      </c>
      <c r="AD7" s="554" t="s">
        <v>456</v>
      </c>
      <c r="AE7" s="555" t="s">
        <v>384</v>
      </c>
      <c r="AF7" s="553" t="s">
        <v>310</v>
      </c>
      <c r="AG7" s="554" t="s">
        <v>311</v>
      </c>
      <c r="AH7" s="554" t="s">
        <v>312</v>
      </c>
      <c r="AI7" s="554" t="s">
        <v>313</v>
      </c>
      <c r="AJ7" s="554" t="s">
        <v>314</v>
      </c>
      <c r="AK7" s="554" t="s">
        <v>315</v>
      </c>
      <c r="AL7" s="554" t="s">
        <v>316</v>
      </c>
      <c r="AM7" s="554" t="s">
        <v>317</v>
      </c>
      <c r="AN7" s="554" t="s">
        <v>318</v>
      </c>
      <c r="AO7" s="554" t="s">
        <v>319</v>
      </c>
      <c r="AP7" s="554" t="s">
        <v>320</v>
      </c>
      <c r="AQ7" s="554" t="s">
        <v>321</v>
      </c>
      <c r="AR7" s="554" t="s">
        <v>493</v>
      </c>
      <c r="AS7" s="555" t="s">
        <v>391</v>
      </c>
      <c r="AT7" s="553" t="s">
        <v>310</v>
      </c>
      <c r="AU7" s="554" t="s">
        <v>311</v>
      </c>
      <c r="AV7" s="554" t="s">
        <v>312</v>
      </c>
      <c r="AW7" s="554" t="s">
        <v>313</v>
      </c>
      <c r="AX7" s="554" t="s">
        <v>314</v>
      </c>
      <c r="AY7" s="554" t="s">
        <v>315</v>
      </c>
      <c r="AZ7" s="554" t="s">
        <v>316</v>
      </c>
      <c r="BA7" s="554" t="s">
        <v>317</v>
      </c>
      <c r="BB7" s="554" t="s">
        <v>318</v>
      </c>
      <c r="BC7" s="554" t="s">
        <v>319</v>
      </c>
      <c r="BD7" s="554" t="s">
        <v>320</v>
      </c>
      <c r="BE7" s="554" t="s">
        <v>321</v>
      </c>
      <c r="BF7" s="555" t="s">
        <v>561</v>
      </c>
      <c r="BG7" s="553" t="s">
        <v>310</v>
      </c>
      <c r="BH7" s="554" t="s">
        <v>311</v>
      </c>
      <c r="BI7" s="554" t="s">
        <v>312</v>
      </c>
      <c r="BJ7" s="554" t="s">
        <v>313</v>
      </c>
      <c r="BK7" s="554" t="s">
        <v>314</v>
      </c>
      <c r="BL7" s="554" t="s">
        <v>315</v>
      </c>
      <c r="BM7" s="554" t="s">
        <v>316</v>
      </c>
      <c r="BN7" s="554" t="s">
        <v>317</v>
      </c>
      <c r="BO7" s="554" t="s">
        <v>318</v>
      </c>
      <c r="BP7" s="554" t="s">
        <v>319</v>
      </c>
      <c r="BQ7" s="554" t="s">
        <v>320</v>
      </c>
      <c r="BR7" s="554" t="s">
        <v>321</v>
      </c>
      <c r="BS7" s="555" t="s">
        <v>562</v>
      </c>
    </row>
    <row r="8" spans="1:71">
      <c r="A8" s="556"/>
      <c r="B8" s="557" t="s">
        <v>323</v>
      </c>
      <c r="C8" s="558" t="s">
        <v>239</v>
      </c>
      <c r="D8" s="559">
        <v>1493802.4700000002</v>
      </c>
      <c r="E8" s="560">
        <v>1478972.49</v>
      </c>
      <c r="F8" s="560">
        <v>1502798.51</v>
      </c>
      <c r="G8" s="560">
        <v>1501419.8099999998</v>
      </c>
      <c r="H8" s="560">
        <v>1514602.2200000002</v>
      </c>
      <c r="I8" s="560">
        <v>1508383.9599999995</v>
      </c>
      <c r="J8" s="560">
        <v>1501783.4700000002</v>
      </c>
      <c r="K8" s="560">
        <v>1490311.3200000003</v>
      </c>
      <c r="L8" s="560">
        <v>1484965.1199999989</v>
      </c>
      <c r="M8" s="560">
        <v>1509831.3000000003</v>
      </c>
      <c r="N8" s="560">
        <v>1474925.3199999998</v>
      </c>
      <c r="O8" s="560">
        <v>1476734.92</v>
      </c>
      <c r="P8" s="560">
        <v>-251373.91000000015</v>
      </c>
      <c r="Q8" s="561">
        <v>17687157</v>
      </c>
      <c r="R8" s="559">
        <v>1633587</v>
      </c>
      <c r="S8" s="560">
        <v>1644991</v>
      </c>
      <c r="T8" s="560">
        <v>1737520</v>
      </c>
      <c r="U8" s="560">
        <v>1759808</v>
      </c>
      <c r="V8" s="560">
        <v>1760295</v>
      </c>
      <c r="W8" s="560">
        <v>1754265</v>
      </c>
      <c r="X8" s="560">
        <v>1765968</v>
      </c>
      <c r="Y8" s="560">
        <v>1761797</v>
      </c>
      <c r="Z8" s="560">
        <v>1744704.6123480017</v>
      </c>
      <c r="AA8" s="560">
        <v>1755475</v>
      </c>
      <c r="AB8" s="560">
        <v>1754778</v>
      </c>
      <c r="AC8" s="560">
        <v>1742706</v>
      </c>
      <c r="AD8" s="560">
        <v>360466.38765199855</v>
      </c>
      <c r="AE8" s="561">
        <v>21176361</v>
      </c>
      <c r="AF8" s="559">
        <v>1668273</v>
      </c>
      <c r="AG8" s="560">
        <v>1794701</v>
      </c>
      <c r="AH8" s="560">
        <v>1781585</v>
      </c>
      <c r="AI8" s="560">
        <v>1799261.9934080001</v>
      </c>
      <c r="AJ8" s="560">
        <v>1736905.1494</v>
      </c>
      <c r="AK8" s="560">
        <v>1747816</v>
      </c>
      <c r="AL8" s="560">
        <v>1737520.4503090023</v>
      </c>
      <c r="AM8" s="560">
        <v>1717045</v>
      </c>
      <c r="AN8" s="560">
        <v>1717205</v>
      </c>
      <c r="AO8" s="560">
        <v>1698689.0567960001</v>
      </c>
      <c r="AP8" s="560">
        <v>1684185</v>
      </c>
      <c r="AQ8" s="560">
        <v>1671626.9839899994</v>
      </c>
      <c r="AR8" s="560">
        <v>-587092.6339030005</v>
      </c>
      <c r="AS8" s="561">
        <v>20167721</v>
      </c>
      <c r="AT8" s="559">
        <v>1619456</v>
      </c>
      <c r="AU8" s="560">
        <v>1961186</v>
      </c>
      <c r="AV8" s="560">
        <v>2311876</v>
      </c>
      <c r="AW8" s="560">
        <v>2033768</v>
      </c>
      <c r="AX8" s="560">
        <v>2091005</v>
      </c>
      <c r="AY8" s="560">
        <v>2041320.6989439991</v>
      </c>
      <c r="AZ8" s="560">
        <v>2216156.7168426667</v>
      </c>
      <c r="BA8" s="560">
        <v>2216156.7168426667</v>
      </c>
      <c r="BB8" s="560">
        <v>2216156.7168426667</v>
      </c>
      <c r="BC8" s="560">
        <v>2216156.7168426667</v>
      </c>
      <c r="BD8" s="560">
        <v>2216156.7168426667</v>
      </c>
      <c r="BE8" s="560">
        <v>2216156.7168426667</v>
      </c>
      <c r="BF8" s="561">
        <v>25355552</v>
      </c>
      <c r="BG8" s="559">
        <v>2019324</v>
      </c>
      <c r="BH8" s="560">
        <v>2019324</v>
      </c>
      <c r="BI8" s="560">
        <v>2019324</v>
      </c>
      <c r="BJ8" s="560">
        <v>2019324</v>
      </c>
      <c r="BK8" s="560">
        <v>2019324</v>
      </c>
      <c r="BL8" s="560">
        <v>2019324</v>
      </c>
      <c r="BM8" s="560">
        <v>2019324</v>
      </c>
      <c r="BN8" s="560">
        <v>2019324</v>
      </c>
      <c r="BO8" s="560">
        <v>2019324</v>
      </c>
      <c r="BP8" s="560">
        <v>2019324</v>
      </c>
      <c r="BQ8" s="560">
        <v>2019324</v>
      </c>
      <c r="BR8" s="560">
        <v>2019324</v>
      </c>
      <c r="BS8" s="561">
        <v>24231888</v>
      </c>
    </row>
    <row r="9" spans="1:71">
      <c r="A9" s="556"/>
      <c r="B9" s="557" t="s">
        <v>324</v>
      </c>
      <c r="C9" s="558" t="s">
        <v>240</v>
      </c>
      <c r="D9" s="559">
        <v>42510.619999999988</v>
      </c>
      <c r="E9" s="560">
        <v>42162.67</v>
      </c>
      <c r="F9" s="560">
        <v>42998.959999999992</v>
      </c>
      <c r="G9" s="560">
        <v>43076.110000000008</v>
      </c>
      <c r="H9" s="560">
        <v>43151.180000000022</v>
      </c>
      <c r="I9" s="560">
        <v>43312.62</v>
      </c>
      <c r="J9" s="560">
        <v>43677.72</v>
      </c>
      <c r="K9" s="560">
        <v>96110.609999999986</v>
      </c>
      <c r="L9" s="560">
        <v>43048.070000000007</v>
      </c>
      <c r="M9" s="560">
        <v>84058.130000000048</v>
      </c>
      <c r="N9" s="560">
        <v>78457.430000000124</v>
      </c>
      <c r="O9" s="560">
        <v>43313.479999999989</v>
      </c>
      <c r="P9" s="560">
        <v>85708.39999999979</v>
      </c>
      <c r="Q9" s="561">
        <v>731586</v>
      </c>
      <c r="R9" s="559">
        <v>45769</v>
      </c>
      <c r="S9" s="560">
        <v>53033</v>
      </c>
      <c r="T9" s="560">
        <v>51850</v>
      </c>
      <c r="U9" s="560">
        <v>60172</v>
      </c>
      <c r="V9" s="560">
        <v>59710</v>
      </c>
      <c r="W9" s="560">
        <v>71900</v>
      </c>
      <c r="X9" s="560">
        <v>67842</v>
      </c>
      <c r="Y9" s="560">
        <v>85914</v>
      </c>
      <c r="Z9" s="560">
        <v>64903.583057999975</v>
      </c>
      <c r="AA9" s="560">
        <v>62830</v>
      </c>
      <c r="AB9" s="560">
        <v>75228</v>
      </c>
      <c r="AC9" s="560">
        <v>48481</v>
      </c>
      <c r="AD9" s="560">
        <v>87266.41694200004</v>
      </c>
      <c r="AE9" s="561">
        <v>834899</v>
      </c>
      <c r="AF9" s="559">
        <v>48395</v>
      </c>
      <c r="AG9" s="560">
        <v>60519</v>
      </c>
      <c r="AH9" s="560">
        <v>66548</v>
      </c>
      <c r="AI9" s="560">
        <v>63768.933103999996</v>
      </c>
      <c r="AJ9" s="560">
        <v>65815</v>
      </c>
      <c r="AK9" s="560">
        <v>67951</v>
      </c>
      <c r="AL9" s="560">
        <v>70670</v>
      </c>
      <c r="AM9" s="560">
        <v>69878</v>
      </c>
      <c r="AN9" s="560">
        <v>67569</v>
      </c>
      <c r="AO9" s="560">
        <v>71499.765483999974</v>
      </c>
      <c r="AP9" s="560">
        <v>78658</v>
      </c>
      <c r="AQ9" s="560">
        <v>96713.546721999999</v>
      </c>
      <c r="AR9" s="560">
        <v>-40329.245310000028</v>
      </c>
      <c r="AS9" s="561">
        <v>787656</v>
      </c>
      <c r="AT9" s="559">
        <v>49314</v>
      </c>
      <c r="AU9" s="560">
        <v>76568</v>
      </c>
      <c r="AV9" s="560">
        <v>102210</v>
      </c>
      <c r="AW9" s="560">
        <v>83680</v>
      </c>
      <c r="AX9" s="560">
        <v>125694</v>
      </c>
      <c r="AY9" s="560">
        <v>251619.71755200002</v>
      </c>
      <c r="AZ9" s="560">
        <v>25.38040799999726</v>
      </c>
      <c r="BA9" s="560">
        <v>25.38040799999726</v>
      </c>
      <c r="BB9" s="560">
        <v>25.38040799999726</v>
      </c>
      <c r="BC9" s="560">
        <v>25.38040799999726</v>
      </c>
      <c r="BD9" s="560">
        <v>25.38040799999726</v>
      </c>
      <c r="BE9" s="560">
        <v>25.38040799999726</v>
      </c>
      <c r="BF9" s="561">
        <v>689238</v>
      </c>
      <c r="BG9" s="559">
        <v>84697.916666666672</v>
      </c>
      <c r="BH9" s="560">
        <v>84697.916666666672</v>
      </c>
      <c r="BI9" s="560">
        <v>84697.916666666672</v>
      </c>
      <c r="BJ9" s="560">
        <v>84697.916666666672</v>
      </c>
      <c r="BK9" s="560">
        <v>84697.916666666672</v>
      </c>
      <c r="BL9" s="560">
        <v>84697.916666666672</v>
      </c>
      <c r="BM9" s="560">
        <v>84697.916666666672</v>
      </c>
      <c r="BN9" s="560">
        <v>84697.916666666672</v>
      </c>
      <c r="BO9" s="560">
        <v>84697.916666666672</v>
      </c>
      <c r="BP9" s="560">
        <v>84697.916666666672</v>
      </c>
      <c r="BQ9" s="560">
        <v>84697.916666666672</v>
      </c>
      <c r="BR9" s="560">
        <v>84697.916666666672</v>
      </c>
      <c r="BS9" s="561">
        <v>1016375</v>
      </c>
    </row>
    <row r="10" spans="1:71">
      <c r="A10" s="556"/>
      <c r="B10" s="557" t="s">
        <v>325</v>
      </c>
      <c r="C10" s="558" t="s">
        <v>241</v>
      </c>
      <c r="D10" s="559"/>
      <c r="E10" s="560"/>
      <c r="F10" s="560"/>
      <c r="G10" s="560"/>
      <c r="H10" s="560"/>
      <c r="I10" s="560"/>
      <c r="J10" s="560"/>
      <c r="K10" s="560"/>
      <c r="L10" s="560"/>
      <c r="M10" s="560"/>
      <c r="N10" s="560"/>
      <c r="O10" s="560"/>
      <c r="P10" s="560">
        <v>226543</v>
      </c>
      <c r="Q10" s="561">
        <v>226543</v>
      </c>
      <c r="R10" s="559">
        <v>0</v>
      </c>
      <c r="S10" s="560">
        <v>0</v>
      </c>
      <c r="T10" s="560">
        <v>0.1</v>
      </c>
      <c r="U10" s="560">
        <v>0</v>
      </c>
      <c r="V10" s="560">
        <v>0</v>
      </c>
      <c r="W10" s="560">
        <v>0.12857142857142859</v>
      </c>
      <c r="X10" s="560">
        <v>0.12857142857142859</v>
      </c>
      <c r="Y10" s="560">
        <v>0.12857142857142859</v>
      </c>
      <c r="Z10" s="560">
        <v>-9.7142857142857156E-2</v>
      </c>
      <c r="AA10" s="560">
        <v>0.20380952380952386</v>
      </c>
      <c r="AB10" s="560">
        <v>0.20380952380952383</v>
      </c>
      <c r="AC10" s="560">
        <v>0.20380952380952383</v>
      </c>
      <c r="AD10" s="560">
        <v>0</v>
      </c>
      <c r="AE10" s="561">
        <v>1</v>
      </c>
      <c r="AF10" s="559">
        <v>0</v>
      </c>
      <c r="AG10" s="560">
        <v>400</v>
      </c>
      <c r="AH10" s="560">
        <v>0</v>
      </c>
      <c r="AI10" s="560">
        <v>0</v>
      </c>
      <c r="AJ10" s="560">
        <v>0</v>
      </c>
      <c r="AK10" s="560">
        <v>0</v>
      </c>
      <c r="AL10" s="560">
        <v>0</v>
      </c>
      <c r="AM10" s="560">
        <v>0</v>
      </c>
      <c r="AN10" s="560">
        <v>0</v>
      </c>
      <c r="AO10" s="560">
        <v>0</v>
      </c>
      <c r="AP10" s="560">
        <v>0</v>
      </c>
      <c r="AQ10" s="560">
        <v>0</v>
      </c>
      <c r="AR10" s="560">
        <v>-400</v>
      </c>
      <c r="AS10" s="561">
        <v>0</v>
      </c>
      <c r="AT10" s="559">
        <v>0</v>
      </c>
      <c r="AU10" s="560">
        <v>0</v>
      </c>
      <c r="AV10" s="560">
        <v>0</v>
      </c>
      <c r="AW10" s="560">
        <v>0</v>
      </c>
      <c r="AX10" s="560">
        <v>0</v>
      </c>
      <c r="AY10" s="560">
        <v>0</v>
      </c>
      <c r="AZ10" s="560">
        <v>0</v>
      </c>
      <c r="BA10" s="560">
        <v>0</v>
      </c>
      <c r="BB10" s="560">
        <v>0</v>
      </c>
      <c r="BC10" s="560">
        <v>0</v>
      </c>
      <c r="BD10" s="560">
        <v>0</v>
      </c>
      <c r="BE10" s="560">
        <v>0</v>
      </c>
      <c r="BF10" s="561">
        <v>0</v>
      </c>
      <c r="BG10" s="559">
        <v>0</v>
      </c>
      <c r="BH10" s="560">
        <v>0</v>
      </c>
      <c r="BI10" s="560">
        <v>0</v>
      </c>
      <c r="BJ10" s="560">
        <v>0</v>
      </c>
      <c r="BK10" s="560">
        <v>0</v>
      </c>
      <c r="BL10" s="560">
        <v>0</v>
      </c>
      <c r="BM10" s="560">
        <v>0</v>
      </c>
      <c r="BN10" s="560">
        <v>0</v>
      </c>
      <c r="BO10" s="560">
        <v>0</v>
      </c>
      <c r="BP10" s="560">
        <v>0</v>
      </c>
      <c r="BQ10" s="560">
        <v>0</v>
      </c>
      <c r="BR10" s="560">
        <v>0</v>
      </c>
      <c r="BS10" s="561">
        <v>0</v>
      </c>
    </row>
    <row r="11" spans="1:71">
      <c r="A11" s="556"/>
      <c r="B11" s="557" t="s">
        <v>326</v>
      </c>
      <c r="C11" s="558" t="s">
        <v>242</v>
      </c>
      <c r="D11" s="559"/>
      <c r="E11" s="560"/>
      <c r="F11" s="560"/>
      <c r="G11" s="560"/>
      <c r="H11" s="560"/>
      <c r="I11" s="560"/>
      <c r="J11" s="560"/>
      <c r="K11" s="560"/>
      <c r="L11" s="560"/>
      <c r="M11" s="560"/>
      <c r="N11" s="560"/>
      <c r="O11" s="560"/>
      <c r="P11" s="560">
        <v>0</v>
      </c>
      <c r="Q11" s="561">
        <v>0</v>
      </c>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c r="BG11" s="559">
        <v>0</v>
      </c>
      <c r="BH11" s="560">
        <v>0</v>
      </c>
      <c r="BI11" s="560">
        <v>0</v>
      </c>
      <c r="BJ11" s="560">
        <v>0</v>
      </c>
      <c r="BK11" s="560">
        <v>0</v>
      </c>
      <c r="BL11" s="560">
        <v>0</v>
      </c>
      <c r="BM11" s="560">
        <v>0</v>
      </c>
      <c r="BN11" s="560">
        <v>0</v>
      </c>
      <c r="BO11" s="560">
        <v>0</v>
      </c>
      <c r="BP11" s="560">
        <v>0</v>
      </c>
      <c r="BQ11" s="560">
        <v>0</v>
      </c>
      <c r="BR11" s="560">
        <v>0</v>
      </c>
      <c r="BS11" s="561">
        <v>0</v>
      </c>
    </row>
    <row r="12" spans="1:71">
      <c r="A12" s="556"/>
      <c r="B12" s="557" t="s">
        <v>327</v>
      </c>
      <c r="C12" s="558" t="s">
        <v>243</v>
      </c>
      <c r="D12" s="559">
        <v>0</v>
      </c>
      <c r="E12" s="560">
        <v>0</v>
      </c>
      <c r="F12" s="560">
        <v>0</v>
      </c>
      <c r="G12" s="560">
        <v>0</v>
      </c>
      <c r="H12" s="560">
        <v>151.85</v>
      </c>
      <c r="I12" s="560">
        <v>0</v>
      </c>
      <c r="J12" s="560">
        <v>0</v>
      </c>
      <c r="K12" s="560">
        <v>0</v>
      </c>
      <c r="L12" s="560">
        <v>0</v>
      </c>
      <c r="M12" s="560">
        <v>0</v>
      </c>
      <c r="N12" s="560">
        <v>0</v>
      </c>
      <c r="O12" s="560">
        <v>0</v>
      </c>
      <c r="P12" s="560">
        <v>20.150000000000006</v>
      </c>
      <c r="Q12" s="561">
        <v>172</v>
      </c>
      <c r="R12" s="559">
        <v>247</v>
      </c>
      <c r="S12" s="560">
        <v>313</v>
      </c>
      <c r="T12" s="560">
        <v>235</v>
      </c>
      <c r="U12" s="560">
        <v>189</v>
      </c>
      <c r="V12" s="560">
        <v>371</v>
      </c>
      <c r="W12" s="560">
        <v>174</v>
      </c>
      <c r="X12" s="560">
        <v>569</v>
      </c>
      <c r="Y12" s="560">
        <v>15357</v>
      </c>
      <c r="Z12" s="560">
        <v>2065</v>
      </c>
      <c r="AA12" s="560">
        <v>299</v>
      </c>
      <c r="AB12" s="560">
        <v>2258</v>
      </c>
      <c r="AC12" s="560">
        <v>0</v>
      </c>
      <c r="AD12" s="560">
        <v>-14697</v>
      </c>
      <c r="AE12" s="561">
        <v>7380</v>
      </c>
      <c r="AF12" s="559">
        <v>0</v>
      </c>
      <c r="AG12" s="560">
        <v>5799</v>
      </c>
      <c r="AH12" s="560">
        <v>0</v>
      </c>
      <c r="AI12" s="560">
        <v>-582</v>
      </c>
      <c r="AJ12" s="560">
        <v>-881</v>
      </c>
      <c r="AK12" s="560">
        <v>1108</v>
      </c>
      <c r="AL12" s="560">
        <v>481</v>
      </c>
      <c r="AM12" s="560">
        <v>279</v>
      </c>
      <c r="AN12" s="560">
        <v>-500</v>
      </c>
      <c r="AO12" s="560">
        <v>211.01653199999987</v>
      </c>
      <c r="AP12" s="560">
        <v>95</v>
      </c>
      <c r="AQ12" s="560">
        <v>220.89759300000003</v>
      </c>
      <c r="AR12" s="560">
        <v>220.89759300000003</v>
      </c>
      <c r="AS12" s="561">
        <v>7479</v>
      </c>
      <c r="AT12" s="559">
        <v>13</v>
      </c>
      <c r="AU12" s="560">
        <v>182</v>
      </c>
      <c r="AV12" s="560">
        <v>156</v>
      </c>
      <c r="AW12" s="560">
        <v>107</v>
      </c>
      <c r="AX12" s="560">
        <v>349</v>
      </c>
      <c r="AY12" s="560">
        <v>307.852464</v>
      </c>
      <c r="AZ12" s="560">
        <v>-19.142077333333333</v>
      </c>
      <c r="BA12" s="560">
        <v>-19.142077333333333</v>
      </c>
      <c r="BB12" s="560">
        <v>-19.142077333333333</v>
      </c>
      <c r="BC12" s="560">
        <v>-19.142077333333333</v>
      </c>
      <c r="BD12" s="560">
        <v>-19.142077333333333</v>
      </c>
      <c r="BE12" s="560">
        <v>-19.142077333333333</v>
      </c>
      <c r="BF12" s="561">
        <v>1000</v>
      </c>
      <c r="BG12" s="559">
        <v>0</v>
      </c>
      <c r="BH12" s="560">
        <v>0</v>
      </c>
      <c r="BI12" s="560">
        <v>0</v>
      </c>
      <c r="BJ12" s="560">
        <v>0</v>
      </c>
      <c r="BK12" s="560">
        <v>0</v>
      </c>
      <c r="BL12" s="560">
        <v>0</v>
      </c>
      <c r="BM12" s="560">
        <v>0</v>
      </c>
      <c r="BN12" s="560">
        <v>0</v>
      </c>
      <c r="BO12" s="560">
        <v>0</v>
      </c>
      <c r="BP12" s="560">
        <v>0</v>
      </c>
      <c r="BQ12" s="560">
        <v>0</v>
      </c>
      <c r="BR12" s="560">
        <v>0</v>
      </c>
      <c r="BS12" s="561">
        <v>0</v>
      </c>
    </row>
    <row r="13" spans="1:71">
      <c r="A13" s="556"/>
      <c r="B13" s="557" t="s">
        <v>328</v>
      </c>
      <c r="C13" s="558" t="s">
        <v>244</v>
      </c>
      <c r="D13" s="559">
        <v>0</v>
      </c>
      <c r="E13" s="560">
        <v>0</v>
      </c>
      <c r="F13" s="560">
        <v>0</v>
      </c>
      <c r="G13" s="560">
        <v>48914.999999999985</v>
      </c>
      <c r="H13" s="560">
        <v>0</v>
      </c>
      <c r="I13" s="560">
        <v>0</v>
      </c>
      <c r="J13" s="560">
        <v>0</v>
      </c>
      <c r="K13" s="560">
        <v>0</v>
      </c>
      <c r="L13" s="560">
        <v>0</v>
      </c>
      <c r="M13" s="560">
        <v>0</v>
      </c>
      <c r="N13" s="560">
        <v>1.4551915228366852E-11</v>
      </c>
      <c r="O13" s="560">
        <v>0</v>
      </c>
      <c r="P13" s="560">
        <v>19048</v>
      </c>
      <c r="Q13" s="561">
        <v>67963</v>
      </c>
      <c r="R13" s="559">
        <v>43</v>
      </c>
      <c r="S13" s="560">
        <v>23545</v>
      </c>
      <c r="T13" s="560">
        <v>1382</v>
      </c>
      <c r="U13" s="560">
        <v>17330</v>
      </c>
      <c r="V13" s="560">
        <v>50538</v>
      </c>
      <c r="W13" s="560">
        <v>2770</v>
      </c>
      <c r="X13" s="560">
        <v>20932</v>
      </c>
      <c r="Y13" s="560">
        <v>37791</v>
      </c>
      <c r="Z13" s="560">
        <v>28450</v>
      </c>
      <c r="AA13" s="560">
        <v>13192</v>
      </c>
      <c r="AB13" s="560">
        <v>22386</v>
      </c>
      <c r="AC13" s="560">
        <v>5419</v>
      </c>
      <c r="AD13" s="560">
        <v>-197341</v>
      </c>
      <c r="AE13" s="561">
        <v>26437</v>
      </c>
      <c r="AF13" s="559">
        <v>0</v>
      </c>
      <c r="AG13" s="560">
        <v>21779</v>
      </c>
      <c r="AH13" s="560">
        <v>708</v>
      </c>
      <c r="AI13" s="560">
        <v>840</v>
      </c>
      <c r="AJ13" s="560">
        <v>470</v>
      </c>
      <c r="AK13" s="560">
        <v>74708</v>
      </c>
      <c r="AL13" s="560">
        <v>15505</v>
      </c>
      <c r="AM13" s="560">
        <v>7152</v>
      </c>
      <c r="AN13" s="560">
        <v>44596</v>
      </c>
      <c r="AO13" s="560">
        <v>397.25111199999651</v>
      </c>
      <c r="AP13" s="560">
        <v>28484</v>
      </c>
      <c r="AQ13" s="560">
        <v>700.39997699999981</v>
      </c>
      <c r="AR13" s="560">
        <v>700.39997699999981</v>
      </c>
      <c r="AS13" s="561">
        <v>227600</v>
      </c>
      <c r="AT13" s="559">
        <v>21570</v>
      </c>
      <c r="AU13" s="560">
        <v>45055</v>
      </c>
      <c r="AV13" s="560">
        <v>2885</v>
      </c>
      <c r="AW13" s="560">
        <v>18108</v>
      </c>
      <c r="AX13" s="560">
        <v>6196</v>
      </c>
      <c r="AY13" s="560">
        <v>63881.588704000016</v>
      </c>
      <c r="AZ13" s="560">
        <v>-9782.5981173333366</v>
      </c>
      <c r="BA13" s="560">
        <v>-9782.5981173333366</v>
      </c>
      <c r="BB13" s="560">
        <v>-9782.5981173333366</v>
      </c>
      <c r="BC13" s="560">
        <v>-9782.5981173333366</v>
      </c>
      <c r="BD13" s="560">
        <v>-9782.5981173333366</v>
      </c>
      <c r="BE13" s="560">
        <v>-9782.5981173333366</v>
      </c>
      <c r="BF13" s="561">
        <v>99000</v>
      </c>
      <c r="BG13" s="559">
        <v>9385.4166666666661</v>
      </c>
      <c r="BH13" s="560">
        <v>9385.4166666666661</v>
      </c>
      <c r="BI13" s="560">
        <v>9385.4166666666661</v>
      </c>
      <c r="BJ13" s="560">
        <v>9385.4166666666661</v>
      </c>
      <c r="BK13" s="560">
        <v>9385.4166666666661</v>
      </c>
      <c r="BL13" s="560">
        <v>9385.4166666666661</v>
      </c>
      <c r="BM13" s="560">
        <v>9385.4166666666661</v>
      </c>
      <c r="BN13" s="560">
        <v>9385.4166666666661</v>
      </c>
      <c r="BO13" s="560">
        <v>9385.4166666666661</v>
      </c>
      <c r="BP13" s="560">
        <v>9385.4166666666661</v>
      </c>
      <c r="BQ13" s="560">
        <v>9385.4166666666661</v>
      </c>
      <c r="BR13" s="560">
        <v>9385.4166666666661</v>
      </c>
      <c r="BS13" s="561">
        <v>112625</v>
      </c>
    </row>
    <row r="14" spans="1:71">
      <c r="A14" s="556"/>
      <c r="B14" s="557" t="s">
        <v>329</v>
      </c>
      <c r="C14" s="558" t="s">
        <v>245</v>
      </c>
      <c r="D14" s="559">
        <v>0</v>
      </c>
      <c r="E14" s="560">
        <v>1050.7500000000002</v>
      </c>
      <c r="F14" s="560">
        <v>944.6500000000002</v>
      </c>
      <c r="G14" s="560">
        <v>0</v>
      </c>
      <c r="H14" s="560">
        <v>1669.5200000000004</v>
      </c>
      <c r="I14" s="560">
        <v>0</v>
      </c>
      <c r="J14" s="560">
        <v>228.48</v>
      </c>
      <c r="K14" s="560">
        <v>0</v>
      </c>
      <c r="L14" s="560">
        <v>69.47</v>
      </c>
      <c r="M14" s="560">
        <v>50.530000000000015</v>
      </c>
      <c r="N14" s="560">
        <v>-4.5474735088646412E-13</v>
      </c>
      <c r="O14" s="560">
        <v>4325.5999999999995</v>
      </c>
      <c r="P14" s="560">
        <v>1107</v>
      </c>
      <c r="Q14" s="561">
        <v>9446</v>
      </c>
      <c r="R14" s="559">
        <v>386</v>
      </c>
      <c r="S14" s="560">
        <v>2752</v>
      </c>
      <c r="T14" s="560">
        <v>1340</v>
      </c>
      <c r="U14" s="560">
        <v>1150</v>
      </c>
      <c r="V14" s="560">
        <v>1303</v>
      </c>
      <c r="W14" s="560">
        <v>3354</v>
      </c>
      <c r="X14" s="560">
        <v>2585</v>
      </c>
      <c r="Y14" s="560">
        <v>2848</v>
      </c>
      <c r="Z14" s="560">
        <v>103</v>
      </c>
      <c r="AA14" s="560">
        <v>62</v>
      </c>
      <c r="AB14" s="560">
        <v>677</v>
      </c>
      <c r="AC14" s="560">
        <v>0</v>
      </c>
      <c r="AD14" s="560">
        <v>2468</v>
      </c>
      <c r="AE14" s="561">
        <v>19028</v>
      </c>
      <c r="AF14" s="559">
        <v>0</v>
      </c>
      <c r="AG14" s="560">
        <v>0</v>
      </c>
      <c r="AH14" s="560">
        <v>0</v>
      </c>
      <c r="AI14" s="560">
        <v>0</v>
      </c>
      <c r="AJ14" s="560">
        <v>0</v>
      </c>
      <c r="AK14" s="560">
        <v>0</v>
      </c>
      <c r="AL14" s="560">
        <v>0</v>
      </c>
      <c r="AM14" s="560">
        <v>0</v>
      </c>
      <c r="AN14" s="560">
        <v>0</v>
      </c>
      <c r="AO14" s="560">
        <v>0</v>
      </c>
      <c r="AP14" s="560">
        <v>0</v>
      </c>
      <c r="AQ14" s="560"/>
      <c r="AR14" s="560">
        <v>22564</v>
      </c>
      <c r="AS14" s="561">
        <v>22564</v>
      </c>
      <c r="AT14" s="559">
        <v>0</v>
      </c>
      <c r="AU14" s="560">
        <v>0</v>
      </c>
      <c r="AV14" s="560">
        <v>0</v>
      </c>
      <c r="AW14" s="560"/>
      <c r="AX14" s="560">
        <v>0</v>
      </c>
      <c r="AY14" s="560">
        <v>0</v>
      </c>
      <c r="AZ14" s="560">
        <v>15098.833333333334</v>
      </c>
      <c r="BA14" s="560">
        <v>15098.833333333334</v>
      </c>
      <c r="BB14" s="560">
        <v>15098.833333333334</v>
      </c>
      <c r="BC14" s="560">
        <v>15098.833333333334</v>
      </c>
      <c r="BD14" s="560">
        <v>15098.833333333334</v>
      </c>
      <c r="BE14" s="560">
        <v>15098.833333333334</v>
      </c>
      <c r="BF14" s="561">
        <v>90593</v>
      </c>
      <c r="BG14" s="559">
        <v>7753.333333333333</v>
      </c>
      <c r="BH14" s="560">
        <v>7753.333333333333</v>
      </c>
      <c r="BI14" s="560">
        <v>7753.333333333333</v>
      </c>
      <c r="BJ14" s="560">
        <v>7753.333333333333</v>
      </c>
      <c r="BK14" s="560">
        <v>7753.333333333333</v>
      </c>
      <c r="BL14" s="560">
        <v>7753.333333333333</v>
      </c>
      <c r="BM14" s="560">
        <v>7753.333333333333</v>
      </c>
      <c r="BN14" s="560">
        <v>7753.333333333333</v>
      </c>
      <c r="BO14" s="560">
        <v>7753.333333333333</v>
      </c>
      <c r="BP14" s="560">
        <v>7753.333333333333</v>
      </c>
      <c r="BQ14" s="560">
        <v>7753.333333333333</v>
      </c>
      <c r="BR14" s="560">
        <v>7753.333333333333</v>
      </c>
      <c r="BS14" s="561">
        <v>93040</v>
      </c>
    </row>
    <row r="15" spans="1:71" s="565" customFormat="1">
      <c r="A15" s="562"/>
      <c r="B15" s="550" t="s">
        <v>330</v>
      </c>
      <c r="C15" s="563" t="s">
        <v>246</v>
      </c>
      <c r="D15" s="559"/>
      <c r="E15" s="564"/>
      <c r="F15" s="560"/>
      <c r="G15" s="560"/>
      <c r="H15" s="560"/>
      <c r="I15" s="560"/>
      <c r="J15" s="560"/>
      <c r="K15" s="560"/>
      <c r="L15" s="560"/>
      <c r="M15" s="560"/>
      <c r="N15" s="560"/>
      <c r="O15" s="560"/>
      <c r="P15" s="560">
        <v>0</v>
      </c>
      <c r="Q15" s="561">
        <v>0</v>
      </c>
      <c r="R15" s="559">
        <v>1</v>
      </c>
      <c r="S15" s="564">
        <v>13</v>
      </c>
      <c r="T15" s="560">
        <v>5</v>
      </c>
      <c r="U15" s="560">
        <v>60</v>
      </c>
      <c r="V15" s="560">
        <v>85</v>
      </c>
      <c r="W15" s="560">
        <v>19</v>
      </c>
      <c r="X15" s="560">
        <v>40</v>
      </c>
      <c r="Y15" s="560">
        <v>60</v>
      </c>
      <c r="Z15" s="560">
        <v>35</v>
      </c>
      <c r="AA15" s="560">
        <v>62</v>
      </c>
      <c r="AB15" s="560">
        <v>61</v>
      </c>
      <c r="AC15" s="560">
        <v>0</v>
      </c>
      <c r="AD15" s="560">
        <v>122919</v>
      </c>
      <c r="AE15" s="561">
        <v>123360</v>
      </c>
      <c r="AF15" s="559">
        <v>0</v>
      </c>
      <c r="AG15" s="564">
        <v>0</v>
      </c>
      <c r="AH15" s="560">
        <v>0</v>
      </c>
      <c r="AI15" s="560">
        <v>0</v>
      </c>
      <c r="AJ15" s="560">
        <v>0</v>
      </c>
      <c r="AK15" s="560">
        <v>0</v>
      </c>
      <c r="AL15" s="560">
        <v>0</v>
      </c>
      <c r="AM15" s="560">
        <v>0</v>
      </c>
      <c r="AN15" s="560">
        <v>0</v>
      </c>
      <c r="AO15" s="560">
        <v>0</v>
      </c>
      <c r="AP15" s="560">
        <v>0</v>
      </c>
      <c r="AQ15" s="560"/>
      <c r="AR15" s="560">
        <v>429753</v>
      </c>
      <c r="AS15" s="561">
        <v>429753</v>
      </c>
      <c r="AT15" s="559">
        <v>0</v>
      </c>
      <c r="AU15" s="564">
        <v>0</v>
      </c>
      <c r="AV15" s="560">
        <v>0</v>
      </c>
      <c r="AW15" s="560">
        <v>0</v>
      </c>
      <c r="AX15" s="560">
        <v>0</v>
      </c>
      <c r="AY15" s="560">
        <v>0</v>
      </c>
      <c r="AZ15" s="560">
        <v>0</v>
      </c>
      <c r="BA15" s="560">
        <v>0</v>
      </c>
      <c r="BB15" s="560">
        <v>0</v>
      </c>
      <c r="BC15" s="560">
        <v>0</v>
      </c>
      <c r="BD15" s="560">
        <v>0</v>
      </c>
      <c r="BE15" s="560">
        <v>0</v>
      </c>
      <c r="BF15" s="561">
        <v>0</v>
      </c>
      <c r="BG15" s="559">
        <v>715</v>
      </c>
      <c r="BH15" s="564">
        <v>715</v>
      </c>
      <c r="BI15" s="560">
        <v>715</v>
      </c>
      <c r="BJ15" s="560">
        <v>715</v>
      </c>
      <c r="BK15" s="560">
        <v>715</v>
      </c>
      <c r="BL15" s="560">
        <v>715</v>
      </c>
      <c r="BM15" s="560">
        <v>715</v>
      </c>
      <c r="BN15" s="560">
        <v>715</v>
      </c>
      <c r="BO15" s="560">
        <v>715</v>
      </c>
      <c r="BP15" s="560">
        <v>715</v>
      </c>
      <c r="BQ15" s="560">
        <v>715</v>
      </c>
      <c r="BR15" s="560">
        <v>715</v>
      </c>
      <c r="BS15" s="561">
        <v>8580</v>
      </c>
    </row>
    <row r="16" spans="1:71" s="565" customFormat="1" ht="16.5" customHeight="1">
      <c r="A16" s="562"/>
      <c r="B16" s="550" t="s">
        <v>331</v>
      </c>
      <c r="C16" s="563" t="s">
        <v>332</v>
      </c>
      <c r="D16" s="559"/>
      <c r="E16" s="564"/>
      <c r="F16" s="560"/>
      <c r="G16" s="560"/>
      <c r="H16" s="560"/>
      <c r="I16" s="560"/>
      <c r="J16" s="560"/>
      <c r="K16" s="560"/>
      <c r="L16" s="560"/>
      <c r="M16" s="560"/>
      <c r="N16" s="560"/>
      <c r="O16" s="560"/>
      <c r="P16" s="560">
        <v>0</v>
      </c>
      <c r="Q16" s="561">
        <v>0</v>
      </c>
      <c r="R16" s="559">
        <v>0</v>
      </c>
      <c r="S16" s="564">
        <v>0</v>
      </c>
      <c r="T16" s="560">
        <v>0</v>
      </c>
      <c r="U16" s="560">
        <v>0</v>
      </c>
      <c r="V16" s="560">
        <v>0</v>
      </c>
      <c r="W16" s="560">
        <v>0</v>
      </c>
      <c r="X16" s="560">
        <v>0</v>
      </c>
      <c r="Y16" s="560">
        <v>0</v>
      </c>
      <c r="Z16" s="560">
        <v>0</v>
      </c>
      <c r="AA16" s="560">
        <v>0</v>
      </c>
      <c r="AB16" s="560">
        <v>0</v>
      </c>
      <c r="AC16" s="560">
        <v>0</v>
      </c>
      <c r="AD16" s="560">
        <v>69197</v>
      </c>
      <c r="AE16" s="561">
        <v>69197</v>
      </c>
      <c r="AF16" s="559">
        <v>0</v>
      </c>
      <c r="AG16" s="564">
        <v>0</v>
      </c>
      <c r="AH16" s="560">
        <v>0</v>
      </c>
      <c r="AI16" s="560">
        <v>0</v>
      </c>
      <c r="AJ16" s="560">
        <v>0</v>
      </c>
      <c r="AK16" s="560">
        <v>0</v>
      </c>
      <c r="AL16" s="560">
        <v>0</v>
      </c>
      <c r="AM16" s="560">
        <v>0</v>
      </c>
      <c r="AN16" s="560">
        <v>0</v>
      </c>
      <c r="AO16" s="560">
        <v>0</v>
      </c>
      <c r="AP16" s="560">
        <v>0</v>
      </c>
      <c r="AQ16" s="560"/>
      <c r="AR16" s="560">
        <v>69197</v>
      </c>
      <c r="AS16" s="561">
        <v>69197</v>
      </c>
      <c r="AT16" s="559">
        <v>0</v>
      </c>
      <c r="AU16" s="564">
        <v>0</v>
      </c>
      <c r="AV16" s="560">
        <v>0</v>
      </c>
      <c r="AW16" s="560">
        <v>0</v>
      </c>
      <c r="AX16" s="560">
        <v>0</v>
      </c>
      <c r="AY16" s="560">
        <v>0</v>
      </c>
      <c r="AZ16" s="560">
        <v>0</v>
      </c>
      <c r="BA16" s="560">
        <v>0</v>
      </c>
      <c r="BB16" s="560">
        <v>0</v>
      </c>
      <c r="BC16" s="560">
        <v>0</v>
      </c>
      <c r="BD16" s="560">
        <v>0</v>
      </c>
      <c r="BE16" s="560">
        <v>0</v>
      </c>
      <c r="BF16" s="561">
        <v>0</v>
      </c>
      <c r="BG16" s="559">
        <v>0</v>
      </c>
      <c r="BH16" s="564">
        <v>0</v>
      </c>
      <c r="BI16" s="560">
        <v>0</v>
      </c>
      <c r="BJ16" s="560">
        <v>0</v>
      </c>
      <c r="BK16" s="560">
        <v>0</v>
      </c>
      <c r="BL16" s="560">
        <v>0</v>
      </c>
      <c r="BM16" s="560">
        <v>0</v>
      </c>
      <c r="BN16" s="560">
        <v>0</v>
      </c>
      <c r="BO16" s="560">
        <v>0</v>
      </c>
      <c r="BP16" s="560">
        <v>0</v>
      </c>
      <c r="BQ16" s="560">
        <v>0</v>
      </c>
      <c r="BR16" s="560">
        <v>0</v>
      </c>
      <c r="BS16" s="561">
        <v>0</v>
      </c>
    </row>
    <row r="17" spans="1:71" s="565" customFormat="1">
      <c r="A17" s="562"/>
      <c r="B17" s="550" t="s">
        <v>333</v>
      </c>
      <c r="C17" s="563" t="s">
        <v>247</v>
      </c>
      <c r="D17" s="559">
        <v>73688.439999999988</v>
      </c>
      <c r="E17" s="564">
        <v>36081.650000000023</v>
      </c>
      <c r="F17" s="560">
        <v>110219.93000000002</v>
      </c>
      <c r="G17" s="560">
        <v>64467.20999999997</v>
      </c>
      <c r="H17" s="560">
        <v>76017.710000000006</v>
      </c>
      <c r="I17" s="560">
        <v>67672.149999999965</v>
      </c>
      <c r="J17" s="560">
        <v>92913.579999999958</v>
      </c>
      <c r="K17" s="560">
        <v>175040.93999999927</v>
      </c>
      <c r="L17" s="560">
        <v>821303.91000000061</v>
      </c>
      <c r="M17" s="560">
        <v>86336.680000000008</v>
      </c>
      <c r="N17" s="560">
        <v>349097.9800000001</v>
      </c>
      <c r="O17" s="560">
        <v>395077.52999999968</v>
      </c>
      <c r="P17" s="560">
        <v>372911.2900000005</v>
      </c>
      <c r="Q17" s="561">
        <v>2720829</v>
      </c>
      <c r="R17" s="559">
        <v>264760</v>
      </c>
      <c r="S17" s="564">
        <v>81452</v>
      </c>
      <c r="T17" s="560">
        <v>-71787</v>
      </c>
      <c r="U17" s="560">
        <v>21569</v>
      </c>
      <c r="V17" s="560">
        <v>31274</v>
      </c>
      <c r="W17" s="560">
        <v>748166</v>
      </c>
      <c r="X17" s="560">
        <v>213760</v>
      </c>
      <c r="Y17" s="560">
        <v>187491</v>
      </c>
      <c r="Z17" s="560">
        <v>62063.308229999901</v>
      </c>
      <c r="AA17" s="560">
        <v>432384</v>
      </c>
      <c r="AB17" s="560">
        <v>146324</v>
      </c>
      <c r="AC17" s="560">
        <v>138188</v>
      </c>
      <c r="AD17" s="560">
        <v>-170316.30822999962</v>
      </c>
      <c r="AE17" s="561">
        <v>2085328</v>
      </c>
      <c r="AF17" s="559">
        <v>190402</v>
      </c>
      <c r="AG17" s="564">
        <v>48055</v>
      </c>
      <c r="AH17" s="560">
        <v>166967</v>
      </c>
      <c r="AI17" s="560">
        <v>29659.438384000001</v>
      </c>
      <c r="AJ17" s="560">
        <v>30447</v>
      </c>
      <c r="AK17" s="560">
        <v>14523</v>
      </c>
      <c r="AL17" s="560">
        <v>193949</v>
      </c>
      <c r="AM17" s="560">
        <v>62998</v>
      </c>
      <c r="AN17" s="560">
        <v>1244730</v>
      </c>
      <c r="AO17" s="560">
        <v>203649</v>
      </c>
      <c r="AP17" s="560">
        <v>61817</v>
      </c>
      <c r="AQ17" s="560">
        <v>41805.305537</v>
      </c>
      <c r="AR17" s="560">
        <v>411243.25607899996</v>
      </c>
      <c r="AS17" s="561">
        <v>2700245</v>
      </c>
      <c r="AT17" s="559">
        <v>54552</v>
      </c>
      <c r="AU17" s="564">
        <v>195201</v>
      </c>
      <c r="AV17" s="560">
        <v>8702</v>
      </c>
      <c r="AW17" s="560">
        <v>53407</v>
      </c>
      <c r="AX17" s="560">
        <v>110226</v>
      </c>
      <c r="AY17" s="560">
        <v>6109.3287999999993</v>
      </c>
      <c r="AZ17" s="560">
        <v>551203.44520000007</v>
      </c>
      <c r="BA17" s="560">
        <v>551203.44520000007</v>
      </c>
      <c r="BB17" s="560">
        <v>551203.44520000007</v>
      </c>
      <c r="BC17" s="560">
        <v>551203.44520000007</v>
      </c>
      <c r="BD17" s="560">
        <v>551203.44520000007</v>
      </c>
      <c r="BE17" s="560">
        <v>551203.44520000007</v>
      </c>
      <c r="BF17" s="561">
        <v>3735418</v>
      </c>
      <c r="BG17" s="559">
        <v>381523.58333333331</v>
      </c>
      <c r="BH17" s="564">
        <v>381523.58333333331</v>
      </c>
      <c r="BI17" s="560">
        <v>381523.58333333331</v>
      </c>
      <c r="BJ17" s="560">
        <v>381523.58333333331</v>
      </c>
      <c r="BK17" s="560">
        <v>381523.58333333331</v>
      </c>
      <c r="BL17" s="560">
        <v>381523.58333333331</v>
      </c>
      <c r="BM17" s="560">
        <v>381523.58333333331</v>
      </c>
      <c r="BN17" s="560">
        <v>381523.58333333331</v>
      </c>
      <c r="BO17" s="560">
        <v>381523.58333333331</v>
      </c>
      <c r="BP17" s="560">
        <v>381523.58333333331</v>
      </c>
      <c r="BQ17" s="560">
        <v>381523.58333333331</v>
      </c>
      <c r="BR17" s="560">
        <v>381523.58333333331</v>
      </c>
      <c r="BS17" s="561">
        <v>4578283</v>
      </c>
    </row>
    <row r="18" spans="1:71">
      <c r="A18" s="556"/>
      <c r="B18" s="557" t="s">
        <v>334</v>
      </c>
      <c r="C18" s="558" t="s">
        <v>248</v>
      </c>
      <c r="D18" s="559"/>
      <c r="E18" s="560"/>
      <c r="F18" s="560"/>
      <c r="G18" s="560"/>
      <c r="H18" s="560"/>
      <c r="I18" s="560"/>
      <c r="J18" s="560"/>
      <c r="K18" s="560"/>
      <c r="L18" s="560"/>
      <c r="M18" s="560"/>
      <c r="N18" s="560"/>
      <c r="O18" s="560"/>
      <c r="P18" s="560">
        <v>0</v>
      </c>
      <c r="Q18" s="561">
        <v>0</v>
      </c>
      <c r="R18" s="559">
        <v>0</v>
      </c>
      <c r="S18" s="560">
        <v>0</v>
      </c>
      <c r="T18" s="560">
        <v>0</v>
      </c>
      <c r="U18" s="560">
        <v>0</v>
      </c>
      <c r="V18" s="560">
        <v>0</v>
      </c>
      <c r="W18" s="560">
        <v>0</v>
      </c>
      <c r="X18" s="560">
        <v>0</v>
      </c>
      <c r="Y18" s="560">
        <v>0</v>
      </c>
      <c r="Z18" s="560">
        <v>0</v>
      </c>
      <c r="AA18" s="560">
        <v>0</v>
      </c>
      <c r="AB18" s="560">
        <v>1</v>
      </c>
      <c r="AC18" s="560">
        <v>0</v>
      </c>
      <c r="AD18" s="560">
        <v>1</v>
      </c>
      <c r="AE18" s="561">
        <v>0</v>
      </c>
      <c r="AF18" s="559">
        <v>0</v>
      </c>
      <c r="AG18" s="560">
        <v>0</v>
      </c>
      <c r="AH18" s="560">
        <v>0</v>
      </c>
      <c r="AI18" s="560">
        <v>0</v>
      </c>
      <c r="AJ18" s="560">
        <v>0</v>
      </c>
      <c r="AK18" s="560">
        <v>0</v>
      </c>
      <c r="AL18" s="560">
        <v>0</v>
      </c>
      <c r="AM18" s="560">
        <v>0</v>
      </c>
      <c r="AN18" s="560">
        <v>0</v>
      </c>
      <c r="AO18" s="560">
        <v>0</v>
      </c>
      <c r="AP18" s="560">
        <v>0</v>
      </c>
      <c r="AQ18" s="560"/>
      <c r="AR18" s="560">
        <v>1</v>
      </c>
      <c r="AS18" s="561">
        <v>0</v>
      </c>
      <c r="AT18" s="559">
        <v>0</v>
      </c>
      <c r="AU18" s="560">
        <v>0</v>
      </c>
      <c r="AV18" s="560">
        <v>0</v>
      </c>
      <c r="AW18" s="560">
        <v>0</v>
      </c>
      <c r="AX18" s="560">
        <v>0</v>
      </c>
      <c r="AY18" s="560">
        <v>0</v>
      </c>
      <c r="AZ18" s="560">
        <v>0</v>
      </c>
      <c r="BA18" s="560">
        <v>0</v>
      </c>
      <c r="BB18" s="560">
        <v>0</v>
      </c>
      <c r="BC18" s="560">
        <v>0</v>
      </c>
      <c r="BD18" s="560">
        <v>0</v>
      </c>
      <c r="BE18" s="560">
        <v>0</v>
      </c>
      <c r="BF18" s="561">
        <v>0</v>
      </c>
      <c r="BG18" s="559">
        <v>0</v>
      </c>
      <c r="BH18" s="560">
        <v>0</v>
      </c>
      <c r="BI18" s="560">
        <v>0</v>
      </c>
      <c r="BJ18" s="560">
        <v>0</v>
      </c>
      <c r="BK18" s="560">
        <v>0</v>
      </c>
      <c r="BL18" s="560">
        <v>0</v>
      </c>
      <c r="BM18" s="560">
        <v>0</v>
      </c>
      <c r="BN18" s="560">
        <v>0</v>
      </c>
      <c r="BO18" s="560">
        <v>0</v>
      </c>
      <c r="BP18" s="560">
        <v>0</v>
      </c>
      <c r="BQ18" s="560">
        <v>0</v>
      </c>
      <c r="BR18" s="560">
        <v>0</v>
      </c>
      <c r="BS18" s="561">
        <v>0</v>
      </c>
    </row>
    <row r="19" spans="1:71">
      <c r="A19" s="556"/>
      <c r="B19" s="557" t="s">
        <v>335</v>
      </c>
      <c r="C19" s="558" t="s">
        <v>336</v>
      </c>
      <c r="D19" s="559"/>
      <c r="E19" s="560"/>
      <c r="F19" s="560"/>
      <c r="G19" s="560"/>
      <c r="H19" s="560"/>
      <c r="I19" s="560"/>
      <c r="J19" s="560"/>
      <c r="K19" s="560"/>
      <c r="L19" s="560"/>
      <c r="M19" s="560"/>
      <c r="N19" s="560"/>
      <c r="O19" s="560"/>
      <c r="P19" s="560">
        <v>0</v>
      </c>
      <c r="Q19" s="561">
        <v>0</v>
      </c>
      <c r="R19" s="559">
        <v>0</v>
      </c>
      <c r="S19" s="560">
        <v>0</v>
      </c>
      <c r="T19" s="560">
        <v>0</v>
      </c>
      <c r="U19" s="560">
        <v>0</v>
      </c>
      <c r="V19" s="560">
        <v>0</v>
      </c>
      <c r="W19" s="560">
        <v>0</v>
      </c>
      <c r="X19" s="560">
        <v>0</v>
      </c>
      <c r="Y19" s="560">
        <v>0</v>
      </c>
      <c r="Z19" s="560">
        <v>0</v>
      </c>
      <c r="AA19" s="560">
        <v>0</v>
      </c>
      <c r="AB19" s="560">
        <v>0</v>
      </c>
      <c r="AC19" s="560">
        <v>0</v>
      </c>
      <c r="AD19" s="560">
        <v>0</v>
      </c>
      <c r="AE19" s="561">
        <v>0</v>
      </c>
      <c r="AF19" s="559">
        <v>0</v>
      </c>
      <c r="AG19" s="560">
        <v>0</v>
      </c>
      <c r="AH19" s="560">
        <v>0</v>
      </c>
      <c r="AI19" s="560">
        <v>0</v>
      </c>
      <c r="AJ19" s="560">
        <v>0</v>
      </c>
      <c r="AK19" s="560">
        <v>0</v>
      </c>
      <c r="AL19" s="560">
        <v>0</v>
      </c>
      <c r="AM19" s="560">
        <v>0</v>
      </c>
      <c r="AN19" s="560">
        <v>0</v>
      </c>
      <c r="AO19" s="560">
        <v>0</v>
      </c>
      <c r="AP19" s="560">
        <v>0</v>
      </c>
      <c r="AQ19" s="560"/>
      <c r="AR19" s="560">
        <v>0</v>
      </c>
      <c r="AS19" s="561">
        <v>0</v>
      </c>
      <c r="AT19" s="559">
        <v>0</v>
      </c>
      <c r="AU19" s="560">
        <v>0</v>
      </c>
      <c r="AV19" s="560">
        <v>0</v>
      </c>
      <c r="AW19" s="560">
        <v>0</v>
      </c>
      <c r="AX19" s="560">
        <v>0</v>
      </c>
      <c r="AY19" s="560">
        <v>0</v>
      </c>
      <c r="AZ19" s="560">
        <v>0</v>
      </c>
      <c r="BA19" s="560">
        <v>0</v>
      </c>
      <c r="BB19" s="560">
        <v>0</v>
      </c>
      <c r="BC19" s="560">
        <v>0</v>
      </c>
      <c r="BD19" s="560">
        <v>0</v>
      </c>
      <c r="BE19" s="560">
        <v>0</v>
      </c>
      <c r="BF19" s="561">
        <v>0</v>
      </c>
      <c r="BG19" s="559">
        <v>0</v>
      </c>
      <c r="BH19" s="560">
        <v>0</v>
      </c>
      <c r="BI19" s="560">
        <v>0</v>
      </c>
      <c r="BJ19" s="560">
        <v>0</v>
      </c>
      <c r="BK19" s="560">
        <v>0</v>
      </c>
      <c r="BL19" s="560">
        <v>0</v>
      </c>
      <c r="BM19" s="560">
        <v>0</v>
      </c>
      <c r="BN19" s="560">
        <v>0</v>
      </c>
      <c r="BO19" s="560">
        <v>0</v>
      </c>
      <c r="BP19" s="560">
        <v>0</v>
      </c>
      <c r="BQ19" s="560">
        <v>0</v>
      </c>
      <c r="BR19" s="560">
        <v>0</v>
      </c>
      <c r="BS19" s="561">
        <v>0</v>
      </c>
    </row>
    <row r="20" spans="1:71">
      <c r="A20" s="556"/>
      <c r="B20" s="557" t="s">
        <v>337</v>
      </c>
      <c r="C20" s="558" t="s">
        <v>250</v>
      </c>
      <c r="D20" s="559">
        <v>0</v>
      </c>
      <c r="E20" s="560">
        <v>0</v>
      </c>
      <c r="F20" s="560">
        <v>0</v>
      </c>
      <c r="G20" s="560">
        <v>0</v>
      </c>
      <c r="H20" s="560">
        <v>0</v>
      </c>
      <c r="I20" s="560">
        <v>0</v>
      </c>
      <c r="J20" s="560">
        <v>0</v>
      </c>
      <c r="K20" s="560">
        <v>0</v>
      </c>
      <c r="L20" s="560">
        <v>0</v>
      </c>
      <c r="M20" s="560">
        <v>0</v>
      </c>
      <c r="N20" s="560">
        <v>0</v>
      </c>
      <c r="O20" s="560">
        <v>0</v>
      </c>
      <c r="P20" s="560">
        <v>0</v>
      </c>
      <c r="Q20" s="561">
        <v>0</v>
      </c>
      <c r="R20" s="559">
        <v>0</v>
      </c>
      <c r="S20" s="560">
        <v>0</v>
      </c>
      <c r="T20" s="560">
        <v>0</v>
      </c>
      <c r="U20" s="560">
        <v>0</v>
      </c>
      <c r="V20" s="560">
        <v>0</v>
      </c>
      <c r="W20" s="560">
        <v>0</v>
      </c>
      <c r="X20" s="560">
        <v>0</v>
      </c>
      <c r="Y20" s="560">
        <v>0</v>
      </c>
      <c r="Z20" s="560">
        <v>0</v>
      </c>
      <c r="AA20" s="560">
        <v>0</v>
      </c>
      <c r="AB20" s="560">
        <v>0</v>
      </c>
      <c r="AC20" s="560">
        <v>0</v>
      </c>
      <c r="AD20" s="560">
        <v>0</v>
      </c>
      <c r="AE20" s="561">
        <v>0</v>
      </c>
      <c r="AF20" s="559">
        <v>0</v>
      </c>
      <c r="AG20" s="560">
        <v>0</v>
      </c>
      <c r="AH20" s="560">
        <v>0</v>
      </c>
      <c r="AI20" s="560">
        <v>0</v>
      </c>
      <c r="AJ20" s="560">
        <v>0</v>
      </c>
      <c r="AK20" s="560">
        <v>0</v>
      </c>
      <c r="AL20" s="560">
        <v>0</v>
      </c>
      <c r="AM20" s="560">
        <v>0</v>
      </c>
      <c r="AN20" s="560">
        <v>0</v>
      </c>
      <c r="AO20" s="560">
        <v>0</v>
      </c>
      <c r="AP20" s="560">
        <v>0</v>
      </c>
      <c r="AQ20" s="560">
        <v>0</v>
      </c>
      <c r="AR20" s="560">
        <v>0</v>
      </c>
      <c r="AS20" s="561">
        <v>0</v>
      </c>
      <c r="AT20" s="559">
        <v>0</v>
      </c>
      <c r="AU20" s="560">
        <v>0</v>
      </c>
      <c r="AV20" s="560">
        <v>0</v>
      </c>
      <c r="AW20" s="560">
        <v>0</v>
      </c>
      <c r="AX20" s="560">
        <v>0</v>
      </c>
      <c r="AY20" s="560">
        <v>0</v>
      </c>
      <c r="AZ20" s="560">
        <v>0</v>
      </c>
      <c r="BA20" s="560">
        <v>0</v>
      </c>
      <c r="BB20" s="560">
        <v>0</v>
      </c>
      <c r="BC20" s="560">
        <v>0</v>
      </c>
      <c r="BD20" s="560">
        <v>0</v>
      </c>
      <c r="BE20" s="560">
        <v>0</v>
      </c>
      <c r="BF20" s="561">
        <v>0</v>
      </c>
      <c r="BG20" s="559">
        <v>0</v>
      </c>
      <c r="BH20" s="560">
        <v>0</v>
      </c>
      <c r="BI20" s="560">
        <v>0</v>
      </c>
      <c r="BJ20" s="560">
        <v>0</v>
      </c>
      <c r="BK20" s="560">
        <v>0</v>
      </c>
      <c r="BL20" s="560">
        <v>0</v>
      </c>
      <c r="BM20" s="560">
        <v>0</v>
      </c>
      <c r="BN20" s="560">
        <v>0</v>
      </c>
      <c r="BO20" s="560">
        <v>0</v>
      </c>
      <c r="BP20" s="560">
        <v>0</v>
      </c>
      <c r="BQ20" s="560">
        <v>0</v>
      </c>
      <c r="BR20" s="560">
        <v>0</v>
      </c>
      <c r="BS20" s="561">
        <v>0</v>
      </c>
    </row>
    <row r="21" spans="1:71" s="541" customFormat="1" ht="16.8" thickBot="1">
      <c r="A21" s="566"/>
      <c r="B21" s="567" t="s">
        <v>152</v>
      </c>
      <c r="C21" s="568"/>
      <c r="D21" s="569">
        <v>1610001.53</v>
      </c>
      <c r="E21" s="570">
        <v>1558267.56</v>
      </c>
      <c r="F21" s="570">
        <v>1656962.0499999998</v>
      </c>
      <c r="G21" s="570">
        <v>1657878.13</v>
      </c>
      <c r="H21" s="570">
        <v>1635592.4800000002</v>
      </c>
      <c r="I21" s="570">
        <v>1619368.7299999995</v>
      </c>
      <c r="J21" s="570">
        <v>1638603.25</v>
      </c>
      <c r="K21" s="570">
        <v>1761462.8699999994</v>
      </c>
      <c r="L21" s="570">
        <v>2349386.5699999994</v>
      </c>
      <c r="M21" s="570">
        <v>1680276.6400000004</v>
      </c>
      <c r="N21" s="570">
        <v>1902480.73</v>
      </c>
      <c r="O21" s="570">
        <v>1919451.5299999998</v>
      </c>
      <c r="P21" s="570">
        <v>453963.93000000017</v>
      </c>
      <c r="Q21" s="570">
        <v>21443696</v>
      </c>
      <c r="R21" s="569">
        <v>1944793</v>
      </c>
      <c r="S21" s="570">
        <v>1806099</v>
      </c>
      <c r="T21" s="570">
        <v>1720545.1</v>
      </c>
      <c r="U21" s="570">
        <v>1860278</v>
      </c>
      <c r="V21" s="570">
        <v>1903576</v>
      </c>
      <c r="W21" s="570">
        <v>2580648.1285714284</v>
      </c>
      <c r="X21" s="570">
        <v>2071696.1285714286</v>
      </c>
      <c r="Y21" s="570">
        <v>2091258.1285714286</v>
      </c>
      <c r="Z21" s="570">
        <v>1902324.4064931446</v>
      </c>
      <c r="AA21" s="570">
        <v>2264304.203809524</v>
      </c>
      <c r="AB21" s="570">
        <v>2001713.2038095237</v>
      </c>
      <c r="AC21" s="570">
        <v>1934794.2038095237</v>
      </c>
      <c r="AD21" s="570">
        <v>259963.49636399897</v>
      </c>
      <c r="AE21" s="570">
        <v>24341991</v>
      </c>
      <c r="AF21" s="569">
        <v>1907070</v>
      </c>
      <c r="AG21" s="570">
        <v>1931253</v>
      </c>
      <c r="AH21" s="570">
        <v>2015808</v>
      </c>
      <c r="AI21" s="570">
        <v>1892948.3648960001</v>
      </c>
      <c r="AJ21" s="570">
        <v>1832756.1494</v>
      </c>
      <c r="AK21" s="570">
        <v>1906106</v>
      </c>
      <c r="AL21" s="570">
        <v>2018125.4503090023</v>
      </c>
      <c r="AM21" s="570">
        <v>1857352</v>
      </c>
      <c r="AN21" s="570">
        <v>3073600</v>
      </c>
      <c r="AO21" s="570">
        <v>1974446.089924</v>
      </c>
      <c r="AP21" s="570">
        <v>1853239</v>
      </c>
      <c r="AQ21" s="570">
        <v>1811067.1338189994</v>
      </c>
      <c r="AR21" s="570">
        <v>338443.81165199727</v>
      </c>
      <c r="AS21" s="570">
        <v>24412215</v>
      </c>
      <c r="AT21" s="569">
        <v>1744905</v>
      </c>
      <c r="AU21" s="570">
        <v>2278192</v>
      </c>
      <c r="AV21" s="570">
        <v>2425829</v>
      </c>
      <c r="AW21" s="570">
        <v>2189070</v>
      </c>
      <c r="AX21" s="570">
        <v>2333470</v>
      </c>
      <c r="AY21" s="570">
        <v>2363239.1864639996</v>
      </c>
      <c r="AZ21" s="570">
        <v>2772682.6355893333</v>
      </c>
      <c r="BA21" s="570">
        <v>2772682.6355893333</v>
      </c>
      <c r="BB21" s="570">
        <v>2772682.6355893333</v>
      </c>
      <c r="BC21" s="570">
        <v>2772682.6355893333</v>
      </c>
      <c r="BD21" s="570">
        <v>2772682.6355893333</v>
      </c>
      <c r="BE21" s="570">
        <v>2772682.6355893333</v>
      </c>
      <c r="BF21" s="570">
        <v>29970801</v>
      </c>
      <c r="BG21" s="569">
        <v>2503399.25</v>
      </c>
      <c r="BH21" s="570">
        <v>2503399.25</v>
      </c>
      <c r="BI21" s="570">
        <v>2503399.25</v>
      </c>
      <c r="BJ21" s="570">
        <v>2503399.25</v>
      </c>
      <c r="BK21" s="570">
        <v>2503399.25</v>
      </c>
      <c r="BL21" s="570">
        <v>2503399.25</v>
      </c>
      <c r="BM21" s="570">
        <v>2503399.25</v>
      </c>
      <c r="BN21" s="570">
        <v>2503399.25</v>
      </c>
      <c r="BO21" s="570">
        <v>2503399.25</v>
      </c>
      <c r="BP21" s="570">
        <v>2503399.25</v>
      </c>
      <c r="BQ21" s="570">
        <v>2503399.25</v>
      </c>
      <c r="BR21" s="570">
        <v>2503399.25</v>
      </c>
      <c r="BS21" s="570">
        <v>30040791</v>
      </c>
    </row>
    <row r="22" spans="1:71" s="550" customFormat="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row>
    <row r="23" spans="1:71" s="550" customFormat="1" ht="16.8" thickBot="1">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row>
    <row r="24" spans="1:71" s="541" customFormat="1" ht="16.8" thickBot="1">
      <c r="D24" s="547" t="s">
        <v>307</v>
      </c>
      <c r="E24" s="573"/>
      <c r="F24" s="573"/>
      <c r="G24" s="573"/>
      <c r="H24" s="573"/>
      <c r="I24" s="573"/>
      <c r="J24" s="548"/>
      <c r="K24" s="573"/>
      <c r="L24" s="573"/>
      <c r="M24" s="573"/>
      <c r="N24" s="573"/>
      <c r="O24" s="573"/>
      <c r="P24" s="573"/>
      <c r="Q24" s="574"/>
      <c r="R24" s="547" t="s">
        <v>385</v>
      </c>
      <c r="S24" s="573"/>
      <c r="T24" s="573"/>
      <c r="U24" s="573"/>
      <c r="V24" s="573"/>
      <c r="W24" s="573"/>
      <c r="X24" s="548"/>
      <c r="Y24" s="573"/>
      <c r="Z24" s="573"/>
      <c r="AA24" s="573"/>
      <c r="AB24" s="573"/>
      <c r="AC24" s="573"/>
      <c r="AD24" s="573"/>
      <c r="AE24" s="574"/>
      <c r="AF24" s="547" t="s">
        <v>390</v>
      </c>
      <c r="AG24" s="573"/>
      <c r="AH24" s="573"/>
      <c r="AI24" s="573"/>
      <c r="AJ24" s="573"/>
      <c r="AK24" s="573"/>
      <c r="AL24" s="548"/>
      <c r="AM24" s="573"/>
      <c r="AN24" s="573"/>
      <c r="AO24" s="573"/>
      <c r="AP24" s="573"/>
      <c r="AQ24" s="573"/>
      <c r="AR24" s="573"/>
      <c r="AS24" s="574"/>
      <c r="AT24" s="547" t="s">
        <v>559</v>
      </c>
      <c r="AU24" s="573"/>
      <c r="AV24" s="573"/>
      <c r="AW24" s="573"/>
      <c r="AX24" s="573"/>
      <c r="AY24" s="573"/>
      <c r="AZ24" s="548"/>
      <c r="BA24" s="573"/>
      <c r="BB24" s="573"/>
      <c r="BC24" s="573"/>
      <c r="BD24" s="573"/>
      <c r="BE24" s="573"/>
      <c r="BF24" s="574"/>
      <c r="BG24" s="547" t="s">
        <v>560</v>
      </c>
      <c r="BH24" s="573"/>
      <c r="BI24" s="573"/>
      <c r="BJ24" s="573"/>
      <c r="BK24" s="573"/>
      <c r="BL24" s="573"/>
      <c r="BM24" s="548"/>
      <c r="BN24" s="573"/>
      <c r="BO24" s="573"/>
      <c r="BP24" s="573"/>
      <c r="BQ24" s="573"/>
      <c r="BR24" s="573"/>
      <c r="BS24" s="574"/>
    </row>
    <row r="25" spans="1:71" s="541" customFormat="1">
      <c r="A25" s="575" t="s">
        <v>338</v>
      </c>
      <c r="B25" s="551" t="s">
        <v>51</v>
      </c>
      <c r="C25" s="552" t="s">
        <v>309</v>
      </c>
      <c r="D25" s="576" t="s">
        <v>310</v>
      </c>
      <c r="E25" s="577" t="s">
        <v>311</v>
      </c>
      <c r="F25" s="577" t="s">
        <v>312</v>
      </c>
      <c r="G25" s="577" t="s">
        <v>313</v>
      </c>
      <c r="H25" s="577" t="s">
        <v>314</v>
      </c>
      <c r="I25" s="577" t="s">
        <v>315</v>
      </c>
      <c r="J25" s="577" t="s">
        <v>316</v>
      </c>
      <c r="K25" s="577" t="s">
        <v>317</v>
      </c>
      <c r="L25" s="577" t="s">
        <v>318</v>
      </c>
      <c r="M25" s="577" t="s">
        <v>319</v>
      </c>
      <c r="N25" s="577" t="s">
        <v>320</v>
      </c>
      <c r="O25" s="577" t="s">
        <v>321</v>
      </c>
      <c r="P25" s="577" t="s">
        <v>373</v>
      </c>
      <c r="Q25" s="555" t="s">
        <v>322</v>
      </c>
      <c r="R25" s="576" t="s">
        <v>310</v>
      </c>
      <c r="S25" s="577" t="s">
        <v>311</v>
      </c>
      <c r="T25" s="577" t="s">
        <v>312</v>
      </c>
      <c r="U25" s="577" t="s">
        <v>313</v>
      </c>
      <c r="V25" s="577" t="s">
        <v>314</v>
      </c>
      <c r="W25" s="577" t="s">
        <v>315</v>
      </c>
      <c r="X25" s="577" t="s">
        <v>316</v>
      </c>
      <c r="Y25" s="577" t="s">
        <v>317</v>
      </c>
      <c r="Z25" s="577" t="s">
        <v>318</v>
      </c>
      <c r="AA25" s="577" t="s">
        <v>319</v>
      </c>
      <c r="AB25" s="577" t="s">
        <v>320</v>
      </c>
      <c r="AC25" s="577" t="s">
        <v>321</v>
      </c>
      <c r="AD25" s="577" t="s">
        <v>456</v>
      </c>
      <c r="AE25" s="555" t="s">
        <v>384</v>
      </c>
      <c r="AF25" s="576" t="s">
        <v>310</v>
      </c>
      <c r="AG25" s="577" t="s">
        <v>311</v>
      </c>
      <c r="AH25" s="577" t="s">
        <v>312</v>
      </c>
      <c r="AI25" s="577" t="s">
        <v>313</v>
      </c>
      <c r="AJ25" s="577" t="s">
        <v>314</v>
      </c>
      <c r="AK25" s="577" t="s">
        <v>315</v>
      </c>
      <c r="AL25" s="577" t="s">
        <v>316</v>
      </c>
      <c r="AM25" s="577" t="s">
        <v>317</v>
      </c>
      <c r="AN25" s="577" t="s">
        <v>318</v>
      </c>
      <c r="AO25" s="577" t="s">
        <v>319</v>
      </c>
      <c r="AP25" s="577" t="s">
        <v>320</v>
      </c>
      <c r="AQ25" s="577" t="s">
        <v>321</v>
      </c>
      <c r="AR25" s="554" t="s">
        <v>493</v>
      </c>
      <c r="AS25" s="555" t="s">
        <v>391</v>
      </c>
      <c r="AT25" s="576" t="s">
        <v>310</v>
      </c>
      <c r="AU25" s="577" t="s">
        <v>311</v>
      </c>
      <c r="AV25" s="577" t="s">
        <v>312</v>
      </c>
      <c r="AW25" s="577" t="s">
        <v>313</v>
      </c>
      <c r="AX25" s="577" t="s">
        <v>314</v>
      </c>
      <c r="AY25" s="577" t="s">
        <v>315</v>
      </c>
      <c r="AZ25" s="577" t="s">
        <v>316</v>
      </c>
      <c r="BA25" s="577" t="s">
        <v>317</v>
      </c>
      <c r="BB25" s="577" t="s">
        <v>318</v>
      </c>
      <c r="BC25" s="577" t="s">
        <v>319</v>
      </c>
      <c r="BD25" s="577" t="s">
        <v>320</v>
      </c>
      <c r="BE25" s="577" t="s">
        <v>321</v>
      </c>
      <c r="BF25" s="555" t="s">
        <v>561</v>
      </c>
      <c r="BG25" s="576" t="s">
        <v>310</v>
      </c>
      <c r="BH25" s="577" t="s">
        <v>311</v>
      </c>
      <c r="BI25" s="577" t="s">
        <v>312</v>
      </c>
      <c r="BJ25" s="577" t="s">
        <v>313</v>
      </c>
      <c r="BK25" s="577" t="s">
        <v>314</v>
      </c>
      <c r="BL25" s="577" t="s">
        <v>315</v>
      </c>
      <c r="BM25" s="577" t="s">
        <v>316</v>
      </c>
      <c r="BN25" s="577" t="s">
        <v>317</v>
      </c>
      <c r="BO25" s="577" t="s">
        <v>318</v>
      </c>
      <c r="BP25" s="577" t="s">
        <v>319</v>
      </c>
      <c r="BQ25" s="577" t="s">
        <v>320</v>
      </c>
      <c r="BR25" s="577" t="s">
        <v>321</v>
      </c>
      <c r="BS25" s="555" t="s">
        <v>562</v>
      </c>
    </row>
    <row r="26" spans="1:71" ht="15" customHeight="1">
      <c r="A26" s="556" t="s">
        <v>4</v>
      </c>
      <c r="B26" s="550" t="s">
        <v>53</v>
      </c>
      <c r="C26" s="558" t="s">
        <v>52</v>
      </c>
      <c r="D26" s="559">
        <v>1556667.6800000002</v>
      </c>
      <c r="E26" s="560">
        <v>45970.94999999999</v>
      </c>
      <c r="F26" s="560">
        <v>112697.85999999997</v>
      </c>
      <c r="G26" s="560">
        <v>68491.729999999967</v>
      </c>
      <c r="H26" s="560">
        <v>69936.919999999984</v>
      </c>
      <c r="I26" s="560">
        <v>66318.009999999995</v>
      </c>
      <c r="J26" s="560">
        <v>91354.049999999988</v>
      </c>
      <c r="K26" s="560">
        <v>181181.77999999962</v>
      </c>
      <c r="L26" s="560">
        <v>1182593.1000000003</v>
      </c>
      <c r="M26" s="560">
        <v>476071.8299999999</v>
      </c>
      <c r="N26" s="560">
        <v>1870292.7600000007</v>
      </c>
      <c r="O26" s="560">
        <v>1855852.2100000002</v>
      </c>
      <c r="P26" s="578">
        <v>571610.11999999918</v>
      </c>
      <c r="Q26" s="579">
        <v>8149039</v>
      </c>
      <c r="R26" s="559">
        <v>1895650</v>
      </c>
      <c r="S26" s="560">
        <v>86392</v>
      </c>
      <c r="T26" s="560">
        <v>-43939</v>
      </c>
      <c r="U26" s="560">
        <v>87690</v>
      </c>
      <c r="V26" s="560">
        <v>119193</v>
      </c>
      <c r="W26" s="560">
        <v>1225796</v>
      </c>
      <c r="X26" s="560">
        <v>726336</v>
      </c>
      <c r="Y26" s="560">
        <v>745618</v>
      </c>
      <c r="Z26" s="560">
        <v>531161.570000001</v>
      </c>
      <c r="AA26" s="560">
        <v>860789</v>
      </c>
      <c r="AB26" s="560">
        <v>640660</v>
      </c>
      <c r="AC26" s="560">
        <v>4220512</v>
      </c>
      <c r="AD26" s="578">
        <v>40404.429999999702</v>
      </c>
      <c r="AE26" s="579">
        <v>11136263</v>
      </c>
      <c r="AF26" s="559">
        <v>1864733</v>
      </c>
      <c r="AG26" s="560">
        <v>101987</v>
      </c>
      <c r="AH26" s="560">
        <v>210810</v>
      </c>
      <c r="AI26" s="560">
        <v>65511.400000000009</v>
      </c>
      <c r="AJ26" s="560">
        <v>66862</v>
      </c>
      <c r="AK26" s="560">
        <v>136272</v>
      </c>
      <c r="AL26" s="560">
        <v>300642.64</v>
      </c>
      <c r="AM26" s="560">
        <v>581998</v>
      </c>
      <c r="AN26" s="560">
        <v>2811421</v>
      </c>
      <c r="AO26" s="560">
        <v>1783304.28</v>
      </c>
      <c r="AP26" s="560">
        <v>4815804.8499999996</v>
      </c>
      <c r="AQ26" s="560">
        <v>575456.36000000034</v>
      </c>
      <c r="AR26" s="560">
        <v>-2035559.5300000012</v>
      </c>
      <c r="AS26" s="579">
        <v>11279243</v>
      </c>
      <c r="AT26" s="559">
        <v>1704363</v>
      </c>
      <c r="AU26" s="560">
        <v>193800</v>
      </c>
      <c r="AV26" s="560">
        <v>347159</v>
      </c>
      <c r="AW26" s="560">
        <v>-991591</v>
      </c>
      <c r="AX26" s="560">
        <v>230730</v>
      </c>
      <c r="AY26" s="560">
        <v>139046.74000000011</v>
      </c>
      <c r="AZ26" s="560">
        <v>2510000.71</v>
      </c>
      <c r="BA26" s="560">
        <v>2510000.71</v>
      </c>
      <c r="BB26" s="560">
        <v>2510000.71</v>
      </c>
      <c r="BC26" s="560">
        <v>2510000.71</v>
      </c>
      <c r="BD26" s="560">
        <v>2510000.71</v>
      </c>
      <c r="BE26" s="560">
        <v>2510000.71</v>
      </c>
      <c r="BF26" s="579">
        <v>16683512</v>
      </c>
      <c r="BG26" s="559">
        <v>1378903.6666666667</v>
      </c>
      <c r="BH26" s="560">
        <v>1378903.6666666667</v>
      </c>
      <c r="BI26" s="560">
        <v>1378903.6666666667</v>
      </c>
      <c r="BJ26" s="560">
        <v>1378903.6666666667</v>
      </c>
      <c r="BK26" s="560">
        <v>1378903.6666666667</v>
      </c>
      <c r="BL26" s="560">
        <v>1378903.6666666667</v>
      </c>
      <c r="BM26" s="560">
        <v>1378903.6666666667</v>
      </c>
      <c r="BN26" s="560">
        <v>1378903.6666666667</v>
      </c>
      <c r="BO26" s="560">
        <v>1378903.6666666667</v>
      </c>
      <c r="BP26" s="560">
        <v>1378903.6666666667</v>
      </c>
      <c r="BQ26" s="560">
        <v>1378903.6666666667</v>
      </c>
      <c r="BR26" s="560">
        <v>1378903.6666666667</v>
      </c>
      <c r="BS26" s="579">
        <v>16546844</v>
      </c>
    </row>
    <row r="27" spans="1:71" ht="15" customHeight="1">
      <c r="A27" s="556"/>
      <c r="B27" s="550" t="s">
        <v>55</v>
      </c>
      <c r="C27" s="558" t="s">
        <v>54</v>
      </c>
      <c r="D27" s="559">
        <v>24568.550000000007</v>
      </c>
      <c r="E27" s="560">
        <v>23777.999999999996</v>
      </c>
      <c r="F27" s="560">
        <v>25286.270000000004</v>
      </c>
      <c r="G27" s="560">
        <v>25299.45</v>
      </c>
      <c r="H27" s="560">
        <v>24959.45</v>
      </c>
      <c r="I27" s="560">
        <v>24711.619999999995</v>
      </c>
      <c r="J27" s="560">
        <v>25001.260000000002</v>
      </c>
      <c r="K27" s="560">
        <v>26878.039999999997</v>
      </c>
      <c r="L27" s="560">
        <v>26827.73000000001</v>
      </c>
      <c r="M27" s="560">
        <v>25643.759999999998</v>
      </c>
      <c r="N27" s="560">
        <v>10028.429999999978</v>
      </c>
      <c r="O27" s="560">
        <v>29297.99</v>
      </c>
      <c r="P27" s="560">
        <v>35378.450000000012</v>
      </c>
      <c r="Q27" s="579">
        <v>327659</v>
      </c>
      <c r="R27" s="559">
        <v>21755</v>
      </c>
      <c r="S27" s="560">
        <v>20202</v>
      </c>
      <c r="T27" s="560">
        <v>19243</v>
      </c>
      <c r="U27" s="560">
        <v>20809</v>
      </c>
      <c r="V27" s="560">
        <v>21294</v>
      </c>
      <c r="W27" s="560">
        <v>28876</v>
      </c>
      <c r="X27" s="560">
        <v>23175</v>
      </c>
      <c r="Y27" s="560">
        <v>23393</v>
      </c>
      <c r="Z27" s="560">
        <v>26872.070000000007</v>
      </c>
      <c r="AA27" s="560">
        <v>25331</v>
      </c>
      <c r="AB27" s="560">
        <v>14973</v>
      </c>
      <c r="AC27" s="560">
        <v>21641</v>
      </c>
      <c r="AD27" s="560">
        <v>5067.929999999993</v>
      </c>
      <c r="AE27" s="579">
        <v>272632</v>
      </c>
      <c r="AF27" s="559">
        <v>18645</v>
      </c>
      <c r="AG27" s="560">
        <v>18881</v>
      </c>
      <c r="AH27" s="560">
        <v>19710</v>
      </c>
      <c r="AI27" s="560">
        <v>18506.009999999998</v>
      </c>
      <c r="AJ27" s="560">
        <v>19006</v>
      </c>
      <c r="AK27" s="560">
        <v>18635</v>
      </c>
      <c r="AL27" s="560">
        <v>16976.290000000008</v>
      </c>
      <c r="AM27" s="560">
        <v>18159</v>
      </c>
      <c r="AN27" s="560">
        <v>30066</v>
      </c>
      <c r="AO27" s="560">
        <v>19305.21</v>
      </c>
      <c r="AP27" s="560">
        <v>-33961</v>
      </c>
      <c r="AQ27" s="560">
        <v>17706.190000000002</v>
      </c>
      <c r="AR27" s="560">
        <v>57552.300000000017</v>
      </c>
      <c r="AS27" s="579">
        <v>239187</v>
      </c>
      <c r="AT27" s="559">
        <v>16168</v>
      </c>
      <c r="AU27" s="560">
        <v>21103</v>
      </c>
      <c r="AV27" s="560">
        <v>22462</v>
      </c>
      <c r="AW27" s="560">
        <v>19217</v>
      </c>
      <c r="AX27" s="560">
        <v>21620</v>
      </c>
      <c r="AY27" s="560">
        <v>21896.129999999994</v>
      </c>
      <c r="AZ27" s="560">
        <v>25943.478333333333</v>
      </c>
      <c r="BA27" s="560">
        <v>25943.478333333333</v>
      </c>
      <c r="BB27" s="560">
        <v>25943.478333333333</v>
      </c>
      <c r="BC27" s="560">
        <v>25943.478333333333</v>
      </c>
      <c r="BD27" s="560">
        <v>25943.478333333333</v>
      </c>
      <c r="BE27" s="560">
        <v>25943.478333333333</v>
      </c>
      <c r="BF27" s="579">
        <v>278127</v>
      </c>
      <c r="BG27" s="559">
        <v>34566.25</v>
      </c>
      <c r="BH27" s="560">
        <v>34566.25</v>
      </c>
      <c r="BI27" s="560">
        <v>34566.25</v>
      </c>
      <c r="BJ27" s="560">
        <v>34566.25</v>
      </c>
      <c r="BK27" s="560">
        <v>34566.25</v>
      </c>
      <c r="BL27" s="560">
        <v>34566.25</v>
      </c>
      <c r="BM27" s="560">
        <v>34566.25</v>
      </c>
      <c r="BN27" s="560">
        <v>34566.25</v>
      </c>
      <c r="BO27" s="560">
        <v>34566.25</v>
      </c>
      <c r="BP27" s="560">
        <v>34566.25</v>
      </c>
      <c r="BQ27" s="560">
        <v>34566.25</v>
      </c>
      <c r="BR27" s="560">
        <v>34566.25</v>
      </c>
      <c r="BS27" s="579">
        <v>414795</v>
      </c>
    </row>
    <row r="28" spans="1:71" s="586" customFormat="1">
      <c r="A28" s="580" t="s">
        <v>339</v>
      </c>
      <c r="B28" s="581"/>
      <c r="C28" s="582"/>
      <c r="D28" s="583">
        <v>1581236.2300000002</v>
      </c>
      <c r="E28" s="584">
        <v>69748.949999999983</v>
      </c>
      <c r="F28" s="584">
        <v>137984.12999999998</v>
      </c>
      <c r="G28" s="584">
        <v>93791.179999999964</v>
      </c>
      <c r="H28" s="584">
        <v>94896.369999999981</v>
      </c>
      <c r="I28" s="584">
        <v>91029.62999999999</v>
      </c>
      <c r="J28" s="584">
        <v>116355.31</v>
      </c>
      <c r="K28" s="584">
        <v>208059.81999999963</v>
      </c>
      <c r="L28" s="584">
        <v>1209420.8300000003</v>
      </c>
      <c r="M28" s="584">
        <v>501715.58999999991</v>
      </c>
      <c r="N28" s="584">
        <v>1880321.1900000006</v>
      </c>
      <c r="O28" s="584">
        <v>1885150.2000000002</v>
      </c>
      <c r="P28" s="584">
        <v>606988.56999999937</v>
      </c>
      <c r="Q28" s="585">
        <v>8476698</v>
      </c>
      <c r="R28" s="583">
        <v>1917405</v>
      </c>
      <c r="S28" s="583">
        <v>106594</v>
      </c>
      <c r="T28" s="584">
        <v>-24696</v>
      </c>
      <c r="U28" s="584">
        <v>108499</v>
      </c>
      <c r="V28" s="584">
        <v>140487</v>
      </c>
      <c r="W28" s="584">
        <v>1254672</v>
      </c>
      <c r="X28" s="584">
        <v>749511</v>
      </c>
      <c r="Y28" s="584">
        <v>769011</v>
      </c>
      <c r="Z28" s="584">
        <v>558033.64000000106</v>
      </c>
      <c r="AA28" s="584">
        <v>886120</v>
      </c>
      <c r="AB28" s="584">
        <v>655633</v>
      </c>
      <c r="AC28" s="584">
        <v>4242153</v>
      </c>
      <c r="AD28" s="584">
        <v>45472.359999999404</v>
      </c>
      <c r="AE28" s="585">
        <v>11408895</v>
      </c>
      <c r="AF28" s="583">
        <v>1883378</v>
      </c>
      <c r="AG28" s="584">
        <v>120868</v>
      </c>
      <c r="AH28" s="584">
        <v>230520</v>
      </c>
      <c r="AI28" s="584">
        <v>84017.41</v>
      </c>
      <c r="AJ28" s="584">
        <v>85868</v>
      </c>
      <c r="AK28" s="584">
        <v>154907</v>
      </c>
      <c r="AL28" s="584">
        <v>317618.93000000005</v>
      </c>
      <c r="AM28" s="584">
        <v>600157</v>
      </c>
      <c r="AN28" s="584">
        <v>2841487</v>
      </c>
      <c r="AO28" s="584">
        <v>1802609.49</v>
      </c>
      <c r="AP28" s="584">
        <v>4781843.8499999996</v>
      </c>
      <c r="AQ28" s="584">
        <v>593162.55000000028</v>
      </c>
      <c r="AR28" s="584">
        <v>-1978007.2300000004</v>
      </c>
      <c r="AS28" s="585">
        <v>11518430</v>
      </c>
      <c r="AT28" s="583">
        <v>1720531</v>
      </c>
      <c r="AU28" s="584">
        <v>214903</v>
      </c>
      <c r="AV28" s="584">
        <v>369621</v>
      </c>
      <c r="AW28" s="584">
        <v>-972374</v>
      </c>
      <c r="AX28" s="584">
        <v>252350</v>
      </c>
      <c r="AY28" s="584">
        <v>160942.87000000011</v>
      </c>
      <c r="AZ28" s="584">
        <v>2535944.188333333</v>
      </c>
      <c r="BA28" s="584">
        <v>2535944.188333333</v>
      </c>
      <c r="BB28" s="584">
        <v>2535944.188333333</v>
      </c>
      <c r="BC28" s="584">
        <v>2535944.188333333</v>
      </c>
      <c r="BD28" s="584">
        <v>2535944.188333333</v>
      </c>
      <c r="BE28" s="584">
        <v>2535944.188333333</v>
      </c>
      <c r="BF28" s="585">
        <v>16961639</v>
      </c>
      <c r="BG28" s="583">
        <v>1413469.9166666667</v>
      </c>
      <c r="BH28" s="584">
        <v>1413469.9166666667</v>
      </c>
      <c r="BI28" s="584">
        <v>1413469.9166666667</v>
      </c>
      <c r="BJ28" s="584">
        <v>1413469.9166666667</v>
      </c>
      <c r="BK28" s="584">
        <v>1413469.9166666667</v>
      </c>
      <c r="BL28" s="584">
        <v>1413469.9166666667</v>
      </c>
      <c r="BM28" s="584">
        <v>1413469.9166666667</v>
      </c>
      <c r="BN28" s="584">
        <v>1413469.9166666667</v>
      </c>
      <c r="BO28" s="584">
        <v>1413469.9166666667</v>
      </c>
      <c r="BP28" s="584">
        <v>1413469.9166666667</v>
      </c>
      <c r="BQ28" s="584">
        <v>1413469.9166666667</v>
      </c>
      <c r="BR28" s="584">
        <v>1413469.9166666667</v>
      </c>
      <c r="BS28" s="585">
        <v>16961639</v>
      </c>
    </row>
    <row r="29" spans="1:71" ht="15" customHeight="1">
      <c r="A29" s="556" t="s">
        <v>200</v>
      </c>
      <c r="B29" s="550" t="s">
        <v>113</v>
      </c>
      <c r="C29" s="558" t="s">
        <v>115</v>
      </c>
      <c r="D29" s="559"/>
      <c r="E29" s="560"/>
      <c r="F29" s="560"/>
      <c r="G29" s="560"/>
      <c r="H29" s="560"/>
      <c r="I29" s="560"/>
      <c r="J29" s="560"/>
      <c r="K29" s="560"/>
      <c r="L29" s="560"/>
      <c r="M29" s="560"/>
      <c r="N29" s="560"/>
      <c r="O29" s="560"/>
      <c r="P29" s="560">
        <v>0</v>
      </c>
      <c r="Q29" s="579">
        <v>0</v>
      </c>
      <c r="R29" s="559">
        <v>0</v>
      </c>
      <c r="S29" s="560">
        <v>0</v>
      </c>
      <c r="T29" s="560">
        <v>0</v>
      </c>
      <c r="U29" s="560"/>
      <c r="V29" s="560">
        <v>0</v>
      </c>
      <c r="W29" s="560">
        <v>0</v>
      </c>
      <c r="X29" s="560">
        <v>0</v>
      </c>
      <c r="Y29" s="560">
        <v>0</v>
      </c>
      <c r="Z29" s="560">
        <v>0</v>
      </c>
      <c r="AA29" s="560">
        <v>0</v>
      </c>
      <c r="AB29" s="560">
        <v>0</v>
      </c>
      <c r="AC29" s="560">
        <v>0</v>
      </c>
      <c r="AD29" s="560">
        <v>0</v>
      </c>
      <c r="AE29" s="579">
        <v>0</v>
      </c>
      <c r="AF29" s="559">
        <v>0</v>
      </c>
      <c r="AG29" s="560">
        <v>0</v>
      </c>
      <c r="AH29" s="560">
        <v>0</v>
      </c>
      <c r="AI29" s="560">
        <v>0</v>
      </c>
      <c r="AJ29" s="560">
        <v>0</v>
      </c>
      <c r="AK29" s="560">
        <v>0</v>
      </c>
      <c r="AL29" s="560">
        <v>0</v>
      </c>
      <c r="AM29" s="560">
        <v>0</v>
      </c>
      <c r="AN29" s="560">
        <v>0</v>
      </c>
      <c r="AO29" s="560">
        <v>0</v>
      </c>
      <c r="AP29" s="560">
        <v>0</v>
      </c>
      <c r="AQ29" s="560">
        <v>0</v>
      </c>
      <c r="AR29" s="560">
        <v>0</v>
      </c>
      <c r="AS29" s="579">
        <v>0</v>
      </c>
      <c r="AT29" s="559">
        <v>0</v>
      </c>
      <c r="AU29" s="560">
        <v>0</v>
      </c>
      <c r="AV29" s="560">
        <v>0</v>
      </c>
      <c r="AW29" s="560">
        <v>0</v>
      </c>
      <c r="AX29" s="560">
        <v>0</v>
      </c>
      <c r="AY29" s="560">
        <v>0</v>
      </c>
      <c r="AZ29" s="560">
        <v>0</v>
      </c>
      <c r="BA29" s="560">
        <v>0</v>
      </c>
      <c r="BB29" s="560">
        <v>0</v>
      </c>
      <c r="BC29" s="560">
        <v>0</v>
      </c>
      <c r="BD29" s="560">
        <v>0</v>
      </c>
      <c r="BE29" s="560">
        <v>0</v>
      </c>
      <c r="BF29" s="579">
        <v>0</v>
      </c>
      <c r="BG29" s="559">
        <v>0</v>
      </c>
      <c r="BH29" s="560">
        <v>0</v>
      </c>
      <c r="BI29" s="560">
        <v>0</v>
      </c>
      <c r="BJ29" s="560">
        <v>0</v>
      </c>
      <c r="BK29" s="560">
        <v>0</v>
      </c>
      <c r="BL29" s="560">
        <v>0</v>
      </c>
      <c r="BM29" s="560">
        <v>0</v>
      </c>
      <c r="BN29" s="560">
        <v>0</v>
      </c>
      <c r="BO29" s="560">
        <v>0</v>
      </c>
      <c r="BP29" s="560">
        <v>0</v>
      </c>
      <c r="BQ29" s="560">
        <v>0</v>
      </c>
      <c r="BR29" s="560">
        <v>0</v>
      </c>
      <c r="BS29" s="579">
        <v>0</v>
      </c>
    </row>
    <row r="30" spans="1:71" ht="15" customHeight="1">
      <c r="A30" s="556"/>
      <c r="B30" s="550" t="s">
        <v>119</v>
      </c>
      <c r="C30" s="558" t="s">
        <v>340</v>
      </c>
      <c r="D30" s="559"/>
      <c r="E30" s="560"/>
      <c r="F30" s="560"/>
      <c r="G30" s="560"/>
      <c r="H30" s="560"/>
      <c r="I30" s="560"/>
      <c r="J30" s="560"/>
      <c r="K30" s="560"/>
      <c r="L30" s="560"/>
      <c r="M30" s="560"/>
      <c r="N30" s="560"/>
      <c r="O30" s="560"/>
      <c r="P30" s="560">
        <v>0</v>
      </c>
      <c r="Q30" s="579">
        <v>0</v>
      </c>
      <c r="R30" s="559">
        <v>0</v>
      </c>
      <c r="S30" s="560">
        <v>0</v>
      </c>
      <c r="T30" s="560">
        <v>0</v>
      </c>
      <c r="U30" s="560">
        <v>0</v>
      </c>
      <c r="V30" s="560">
        <v>0</v>
      </c>
      <c r="W30" s="560">
        <v>0</v>
      </c>
      <c r="X30" s="560">
        <v>0</v>
      </c>
      <c r="Y30" s="560">
        <v>0</v>
      </c>
      <c r="Z30" s="560">
        <v>0</v>
      </c>
      <c r="AA30" s="560">
        <v>0</v>
      </c>
      <c r="AB30" s="560">
        <v>0</v>
      </c>
      <c r="AC30" s="560">
        <v>0</v>
      </c>
      <c r="AD30" s="560">
        <v>0</v>
      </c>
      <c r="AE30" s="579">
        <v>0</v>
      </c>
      <c r="AF30" s="559">
        <v>0</v>
      </c>
      <c r="AG30" s="560">
        <v>0</v>
      </c>
      <c r="AH30" s="560">
        <v>0</v>
      </c>
      <c r="AI30" s="560">
        <v>0</v>
      </c>
      <c r="AJ30" s="560">
        <v>0</v>
      </c>
      <c r="AK30" s="560">
        <v>0</v>
      </c>
      <c r="AL30" s="560">
        <v>0</v>
      </c>
      <c r="AM30" s="560">
        <v>0</v>
      </c>
      <c r="AN30" s="560">
        <v>0</v>
      </c>
      <c r="AO30" s="560">
        <v>0</v>
      </c>
      <c r="AP30" s="560">
        <v>0</v>
      </c>
      <c r="AQ30" s="560">
        <v>0</v>
      </c>
      <c r="AR30" s="560">
        <v>0</v>
      </c>
      <c r="AS30" s="579">
        <v>0</v>
      </c>
      <c r="AT30" s="559">
        <v>0</v>
      </c>
      <c r="AU30" s="560">
        <v>0</v>
      </c>
      <c r="AV30" s="560">
        <v>0</v>
      </c>
      <c r="AW30" s="560">
        <v>0</v>
      </c>
      <c r="AX30" s="560">
        <v>0</v>
      </c>
      <c r="AY30" s="560">
        <v>0</v>
      </c>
      <c r="AZ30" s="560">
        <v>0</v>
      </c>
      <c r="BA30" s="560">
        <v>0</v>
      </c>
      <c r="BB30" s="560">
        <v>0</v>
      </c>
      <c r="BC30" s="560">
        <v>0</v>
      </c>
      <c r="BD30" s="560">
        <v>0</v>
      </c>
      <c r="BE30" s="560">
        <v>0</v>
      </c>
      <c r="BF30" s="579">
        <v>0</v>
      </c>
      <c r="BG30" s="559">
        <v>0</v>
      </c>
      <c r="BH30" s="560">
        <v>0</v>
      </c>
      <c r="BI30" s="560">
        <v>0</v>
      </c>
      <c r="BJ30" s="560">
        <v>0</v>
      </c>
      <c r="BK30" s="560">
        <v>0</v>
      </c>
      <c r="BL30" s="560">
        <v>0</v>
      </c>
      <c r="BM30" s="560">
        <v>0</v>
      </c>
      <c r="BN30" s="560">
        <v>0</v>
      </c>
      <c r="BO30" s="560">
        <v>0</v>
      </c>
      <c r="BP30" s="560">
        <v>0</v>
      </c>
      <c r="BQ30" s="560">
        <v>0</v>
      </c>
      <c r="BR30" s="560">
        <v>0</v>
      </c>
      <c r="BS30" s="579">
        <v>0</v>
      </c>
    </row>
    <row r="31" spans="1:71">
      <c r="A31" s="556"/>
      <c r="B31" s="550" t="s">
        <v>118</v>
      </c>
      <c r="C31" s="558" t="s">
        <v>341</v>
      </c>
      <c r="D31" s="559"/>
      <c r="E31" s="560"/>
      <c r="F31" s="560"/>
      <c r="G31" s="560"/>
      <c r="H31" s="560"/>
      <c r="I31" s="560"/>
      <c r="J31" s="560"/>
      <c r="K31" s="560"/>
      <c r="L31" s="560"/>
      <c r="M31" s="560"/>
      <c r="N31" s="560"/>
      <c r="O31" s="560"/>
      <c r="P31" s="560">
        <v>0</v>
      </c>
      <c r="Q31" s="579">
        <v>0</v>
      </c>
      <c r="R31" s="559">
        <v>0</v>
      </c>
      <c r="S31" s="560">
        <v>0</v>
      </c>
      <c r="T31" s="560">
        <v>0</v>
      </c>
      <c r="U31" s="560">
        <v>0</v>
      </c>
      <c r="V31" s="560">
        <v>0</v>
      </c>
      <c r="W31" s="560">
        <v>0</v>
      </c>
      <c r="X31" s="560">
        <v>0</v>
      </c>
      <c r="Y31" s="560">
        <v>0</v>
      </c>
      <c r="Z31" s="560">
        <v>0</v>
      </c>
      <c r="AA31" s="560">
        <v>0</v>
      </c>
      <c r="AB31" s="560">
        <v>0</v>
      </c>
      <c r="AC31" s="560">
        <v>0</v>
      </c>
      <c r="AD31" s="560">
        <v>0</v>
      </c>
      <c r="AE31" s="579">
        <v>0</v>
      </c>
      <c r="AF31" s="559">
        <v>0</v>
      </c>
      <c r="AG31" s="560">
        <v>0</v>
      </c>
      <c r="AH31" s="560">
        <v>0</v>
      </c>
      <c r="AI31" s="560">
        <v>0</v>
      </c>
      <c r="AJ31" s="560">
        <v>0</v>
      </c>
      <c r="AK31" s="560">
        <v>0</v>
      </c>
      <c r="AL31" s="560">
        <v>0</v>
      </c>
      <c r="AM31" s="560">
        <v>0</v>
      </c>
      <c r="AN31" s="560">
        <v>0</v>
      </c>
      <c r="AO31" s="560">
        <v>0</v>
      </c>
      <c r="AP31" s="560">
        <v>0</v>
      </c>
      <c r="AQ31" s="560">
        <v>0</v>
      </c>
      <c r="AR31" s="560">
        <v>0</v>
      </c>
      <c r="AS31" s="579">
        <v>0</v>
      </c>
      <c r="AT31" s="559">
        <v>0</v>
      </c>
      <c r="AU31" s="560">
        <v>0</v>
      </c>
      <c r="AV31" s="560">
        <v>0</v>
      </c>
      <c r="AW31" s="560">
        <v>0</v>
      </c>
      <c r="AX31" s="560">
        <v>0</v>
      </c>
      <c r="AY31" s="560">
        <v>0</v>
      </c>
      <c r="AZ31" s="560">
        <v>0</v>
      </c>
      <c r="BA31" s="560">
        <v>0</v>
      </c>
      <c r="BB31" s="560">
        <v>0</v>
      </c>
      <c r="BC31" s="560">
        <v>0</v>
      </c>
      <c r="BD31" s="560">
        <v>0</v>
      </c>
      <c r="BE31" s="560">
        <v>0</v>
      </c>
      <c r="BF31" s="579">
        <v>0</v>
      </c>
      <c r="BG31" s="559">
        <v>0</v>
      </c>
      <c r="BH31" s="560">
        <v>0</v>
      </c>
      <c r="BI31" s="560">
        <v>0</v>
      </c>
      <c r="BJ31" s="560">
        <v>0</v>
      </c>
      <c r="BK31" s="560">
        <v>0</v>
      </c>
      <c r="BL31" s="560">
        <v>0</v>
      </c>
      <c r="BM31" s="560">
        <v>0</v>
      </c>
      <c r="BN31" s="560">
        <v>0</v>
      </c>
      <c r="BO31" s="560">
        <v>0</v>
      </c>
      <c r="BP31" s="560">
        <v>0</v>
      </c>
      <c r="BQ31" s="560">
        <v>0</v>
      </c>
      <c r="BR31" s="560">
        <v>0</v>
      </c>
      <c r="BS31" s="579">
        <v>0</v>
      </c>
    </row>
    <row r="32" spans="1:71">
      <c r="A32" s="556"/>
      <c r="B32" s="550" t="s">
        <v>367</v>
      </c>
      <c r="C32" s="558" t="s">
        <v>369</v>
      </c>
      <c r="D32" s="559"/>
      <c r="E32" s="560"/>
      <c r="F32" s="560"/>
      <c r="G32" s="560"/>
      <c r="H32" s="560"/>
      <c r="I32" s="560"/>
      <c r="J32" s="560"/>
      <c r="K32" s="560"/>
      <c r="L32" s="560"/>
      <c r="M32" s="560"/>
      <c r="N32" s="560"/>
      <c r="O32" s="560"/>
      <c r="P32" s="560">
        <v>0</v>
      </c>
      <c r="Q32" s="579">
        <v>0</v>
      </c>
      <c r="R32" s="559">
        <v>0</v>
      </c>
      <c r="S32" s="560">
        <v>0</v>
      </c>
      <c r="T32" s="560">
        <v>0</v>
      </c>
      <c r="U32" s="560">
        <v>0</v>
      </c>
      <c r="V32" s="560">
        <v>0</v>
      </c>
      <c r="W32" s="560">
        <v>0</v>
      </c>
      <c r="X32" s="560">
        <v>0</v>
      </c>
      <c r="Y32" s="560">
        <v>0</v>
      </c>
      <c r="Z32" s="560">
        <v>0</v>
      </c>
      <c r="AA32" s="560">
        <v>0</v>
      </c>
      <c r="AB32" s="560">
        <v>0</v>
      </c>
      <c r="AC32" s="560">
        <v>0</v>
      </c>
      <c r="AD32" s="560">
        <v>0</v>
      </c>
      <c r="AE32" s="579">
        <v>0</v>
      </c>
      <c r="AF32" s="559">
        <v>0</v>
      </c>
      <c r="AG32" s="560">
        <v>0</v>
      </c>
      <c r="AH32" s="560">
        <v>0</v>
      </c>
      <c r="AI32" s="560">
        <v>0</v>
      </c>
      <c r="AJ32" s="560">
        <v>0</v>
      </c>
      <c r="AK32" s="560">
        <v>0</v>
      </c>
      <c r="AL32" s="560">
        <v>0</v>
      </c>
      <c r="AM32" s="560">
        <v>0</v>
      </c>
      <c r="AN32" s="560">
        <v>0</v>
      </c>
      <c r="AO32" s="560">
        <v>0</v>
      </c>
      <c r="AP32" s="560">
        <v>0</v>
      </c>
      <c r="AQ32" s="560">
        <v>0</v>
      </c>
      <c r="AR32" s="560">
        <v>0</v>
      </c>
      <c r="AS32" s="579">
        <v>0</v>
      </c>
      <c r="AT32" s="559">
        <v>0</v>
      </c>
      <c r="AU32" s="560">
        <v>0</v>
      </c>
      <c r="AV32" s="560">
        <v>0</v>
      </c>
      <c r="AW32" s="560">
        <v>0</v>
      </c>
      <c r="AX32" s="560">
        <v>0</v>
      </c>
      <c r="AY32" s="560">
        <v>0</v>
      </c>
      <c r="AZ32" s="560">
        <v>0</v>
      </c>
      <c r="BA32" s="560">
        <v>0</v>
      </c>
      <c r="BB32" s="560">
        <v>0</v>
      </c>
      <c r="BC32" s="560">
        <v>0</v>
      </c>
      <c r="BD32" s="560">
        <v>0</v>
      </c>
      <c r="BE32" s="560">
        <v>0</v>
      </c>
      <c r="BF32" s="579">
        <v>0</v>
      </c>
      <c r="BG32" s="559">
        <v>0</v>
      </c>
      <c r="BH32" s="560">
        <v>0</v>
      </c>
      <c r="BI32" s="560">
        <v>0</v>
      </c>
      <c r="BJ32" s="560">
        <v>0</v>
      </c>
      <c r="BK32" s="560">
        <v>0</v>
      </c>
      <c r="BL32" s="560">
        <v>0</v>
      </c>
      <c r="BM32" s="560">
        <v>0</v>
      </c>
      <c r="BN32" s="560">
        <v>0</v>
      </c>
      <c r="BO32" s="560">
        <v>0</v>
      </c>
      <c r="BP32" s="560">
        <v>0</v>
      </c>
      <c r="BQ32" s="560">
        <v>0</v>
      </c>
      <c r="BR32" s="560">
        <v>0</v>
      </c>
      <c r="BS32" s="579">
        <v>0</v>
      </c>
    </row>
    <row r="33" spans="1:71" ht="15" customHeight="1">
      <c r="A33" s="556"/>
      <c r="B33" s="550" t="s">
        <v>64</v>
      </c>
      <c r="C33" s="558" t="s">
        <v>63</v>
      </c>
      <c r="D33" s="559">
        <v>0</v>
      </c>
      <c r="E33" s="560">
        <v>1092956.7299999997</v>
      </c>
      <c r="F33" s="560">
        <v>1114426.7</v>
      </c>
      <c r="G33" s="560">
        <v>1148168.3500000003</v>
      </c>
      <c r="H33" s="560">
        <v>1130963.8</v>
      </c>
      <c r="I33" s="560">
        <v>1127912.1200000001</v>
      </c>
      <c r="J33" s="560">
        <v>1123110.2200000002</v>
      </c>
      <c r="K33" s="560">
        <v>1144894.27</v>
      </c>
      <c r="L33" s="560">
        <v>1105969.73</v>
      </c>
      <c r="M33" s="560">
        <v>1148537.1500000004</v>
      </c>
      <c r="N33" s="560">
        <v>5617.8100000009872</v>
      </c>
      <c r="O33" s="560">
        <v>0</v>
      </c>
      <c r="P33" s="560">
        <v>193948.11999999918</v>
      </c>
      <c r="Q33" s="579">
        <v>10336505</v>
      </c>
      <c r="R33" s="559">
        <v>0</v>
      </c>
      <c r="S33" s="560">
        <v>1252983</v>
      </c>
      <c r="T33" s="560">
        <v>1288118</v>
      </c>
      <c r="U33" s="560">
        <v>1291537</v>
      </c>
      <c r="V33" s="560">
        <v>1299545</v>
      </c>
      <c r="W33" s="560">
        <v>1288281</v>
      </c>
      <c r="X33" s="560">
        <v>1292964</v>
      </c>
      <c r="Y33" s="560">
        <v>1292796</v>
      </c>
      <c r="Z33" s="560">
        <v>1312773.96</v>
      </c>
      <c r="AA33" s="560">
        <v>1346294</v>
      </c>
      <c r="AB33" s="560">
        <v>1213105</v>
      </c>
      <c r="AC33" s="560">
        <v>-2334604</v>
      </c>
      <c r="AD33" s="560">
        <v>-207286.96000000089</v>
      </c>
      <c r="AE33" s="579">
        <v>10336506</v>
      </c>
      <c r="AF33" s="559">
        <v>0</v>
      </c>
      <c r="AG33" s="560">
        <v>1300921</v>
      </c>
      <c r="AH33" s="560">
        <v>1281878</v>
      </c>
      <c r="AI33" s="560">
        <v>1300209.5899999999</v>
      </c>
      <c r="AJ33" s="560">
        <v>1251739.8400000003</v>
      </c>
      <c r="AK33" s="560">
        <v>1258048</v>
      </c>
      <c r="AL33" s="560">
        <v>1059972.8200000003</v>
      </c>
      <c r="AM33" s="560">
        <v>1237869</v>
      </c>
      <c r="AN33" s="560">
        <v>1238838</v>
      </c>
      <c r="AO33" s="560">
        <v>148280.44000000018</v>
      </c>
      <c r="AP33" s="560">
        <v>-1477104.8900000001</v>
      </c>
      <c r="AQ33" s="560">
        <v>1202398.3899999999</v>
      </c>
      <c r="AR33" s="560">
        <v>533455.81000000052</v>
      </c>
      <c r="AS33" s="579">
        <v>10336506</v>
      </c>
      <c r="AT33" s="559">
        <v>0</v>
      </c>
      <c r="AU33" s="560">
        <v>1420113</v>
      </c>
      <c r="AV33" s="560">
        <v>1413731</v>
      </c>
      <c r="AW33" s="560">
        <v>2527440</v>
      </c>
      <c r="AX33" s="560">
        <v>1432034</v>
      </c>
      <c r="AY33" s="560">
        <v>1516451.35</v>
      </c>
      <c r="AZ33" s="560">
        <v>337789.44166666665</v>
      </c>
      <c r="BA33" s="560">
        <v>337789.44166666665</v>
      </c>
      <c r="BB33" s="560">
        <v>337789.44166666665</v>
      </c>
      <c r="BC33" s="560">
        <v>337789.44166666665</v>
      </c>
      <c r="BD33" s="560">
        <v>337789.44166666665</v>
      </c>
      <c r="BE33" s="560">
        <v>337789.44166666665</v>
      </c>
      <c r="BF33" s="579">
        <v>10336506</v>
      </c>
      <c r="BG33" s="559">
        <v>861375.5</v>
      </c>
      <c r="BH33" s="560">
        <v>861375.5</v>
      </c>
      <c r="BI33" s="560">
        <v>861375.5</v>
      </c>
      <c r="BJ33" s="560">
        <v>861375.5</v>
      </c>
      <c r="BK33" s="560">
        <v>861375.5</v>
      </c>
      <c r="BL33" s="560">
        <v>861375.5</v>
      </c>
      <c r="BM33" s="560">
        <v>861375.5</v>
      </c>
      <c r="BN33" s="560">
        <v>861375.5</v>
      </c>
      <c r="BO33" s="560">
        <v>861375.5</v>
      </c>
      <c r="BP33" s="560">
        <v>861375.5</v>
      </c>
      <c r="BQ33" s="560">
        <v>861375.5</v>
      </c>
      <c r="BR33" s="560">
        <v>861375.5</v>
      </c>
      <c r="BS33" s="579">
        <v>10336506</v>
      </c>
    </row>
    <row r="34" spans="1:71">
      <c r="A34" s="556"/>
      <c r="B34" s="550" t="s">
        <v>70</v>
      </c>
      <c r="C34" s="558" t="s">
        <v>69</v>
      </c>
      <c r="D34" s="559"/>
      <c r="E34" s="560"/>
      <c r="F34" s="560"/>
      <c r="G34" s="560"/>
      <c r="H34" s="560"/>
      <c r="I34" s="560"/>
      <c r="J34" s="560"/>
      <c r="K34" s="560"/>
      <c r="L34" s="560"/>
      <c r="M34" s="560"/>
      <c r="N34" s="560"/>
      <c r="O34" s="560"/>
      <c r="P34" s="560">
        <v>0</v>
      </c>
      <c r="Q34" s="579">
        <v>0</v>
      </c>
      <c r="R34" s="559">
        <v>0</v>
      </c>
      <c r="S34" s="560">
        <v>0</v>
      </c>
      <c r="T34" s="560">
        <v>0</v>
      </c>
      <c r="U34" s="560">
        <v>0</v>
      </c>
      <c r="V34" s="560">
        <v>0</v>
      </c>
      <c r="W34" s="560">
        <v>0</v>
      </c>
      <c r="X34" s="560">
        <v>0</v>
      </c>
      <c r="Y34" s="560">
        <v>0</v>
      </c>
      <c r="Z34" s="560">
        <v>0</v>
      </c>
      <c r="AA34" s="560">
        <v>0</v>
      </c>
      <c r="AB34" s="560">
        <v>0</v>
      </c>
      <c r="AC34" s="560">
        <v>0</v>
      </c>
      <c r="AD34" s="560">
        <v>0</v>
      </c>
      <c r="AE34" s="579">
        <v>0</v>
      </c>
      <c r="AF34" s="559">
        <v>0</v>
      </c>
      <c r="AG34" s="560">
        <v>0</v>
      </c>
      <c r="AH34" s="560">
        <v>0</v>
      </c>
      <c r="AI34" s="560">
        <v>0</v>
      </c>
      <c r="AJ34" s="560">
        <v>0</v>
      </c>
      <c r="AK34" s="560">
        <v>0</v>
      </c>
      <c r="AL34" s="560">
        <v>0</v>
      </c>
      <c r="AM34" s="560">
        <v>0</v>
      </c>
      <c r="AN34" s="560">
        <v>0</v>
      </c>
      <c r="AO34" s="560">
        <v>0</v>
      </c>
      <c r="AP34" s="560">
        <v>0</v>
      </c>
      <c r="AQ34" s="560">
        <v>0</v>
      </c>
      <c r="AR34" s="560">
        <v>0</v>
      </c>
      <c r="AS34" s="579">
        <v>0</v>
      </c>
      <c r="AT34" s="559">
        <v>0</v>
      </c>
      <c r="AU34" s="560">
        <v>0</v>
      </c>
      <c r="AV34" s="560">
        <v>0</v>
      </c>
      <c r="AW34" s="560">
        <v>0</v>
      </c>
      <c r="AX34" s="560">
        <v>0</v>
      </c>
      <c r="AY34" s="560">
        <v>0</v>
      </c>
      <c r="AZ34" s="560">
        <v>0</v>
      </c>
      <c r="BA34" s="560">
        <v>0</v>
      </c>
      <c r="BB34" s="560">
        <v>0</v>
      </c>
      <c r="BC34" s="560">
        <v>0</v>
      </c>
      <c r="BD34" s="560">
        <v>0</v>
      </c>
      <c r="BE34" s="560">
        <v>0</v>
      </c>
      <c r="BF34" s="579">
        <v>0</v>
      </c>
      <c r="BG34" s="559">
        <v>0</v>
      </c>
      <c r="BH34" s="560">
        <v>0</v>
      </c>
      <c r="BI34" s="560">
        <v>0</v>
      </c>
      <c r="BJ34" s="560">
        <v>0</v>
      </c>
      <c r="BK34" s="560">
        <v>0</v>
      </c>
      <c r="BL34" s="560">
        <v>0</v>
      </c>
      <c r="BM34" s="560">
        <v>0</v>
      </c>
      <c r="BN34" s="560">
        <v>0</v>
      </c>
      <c r="BO34" s="560">
        <v>0</v>
      </c>
      <c r="BP34" s="560">
        <v>0</v>
      </c>
      <c r="BQ34" s="560">
        <v>0</v>
      </c>
      <c r="BR34" s="560">
        <v>0</v>
      </c>
      <c r="BS34" s="579">
        <v>0</v>
      </c>
    </row>
    <row r="35" spans="1:71">
      <c r="A35" s="556"/>
      <c r="B35" s="550" t="s">
        <v>72</v>
      </c>
      <c r="C35" s="558" t="s">
        <v>71</v>
      </c>
      <c r="D35" s="559"/>
      <c r="E35" s="560"/>
      <c r="F35" s="560"/>
      <c r="G35" s="560"/>
      <c r="H35" s="560"/>
      <c r="I35" s="560"/>
      <c r="J35" s="560"/>
      <c r="K35" s="560"/>
      <c r="L35" s="560"/>
      <c r="M35" s="560"/>
      <c r="N35" s="560"/>
      <c r="O35" s="560"/>
      <c r="P35" s="560">
        <v>0</v>
      </c>
      <c r="Q35" s="579">
        <v>0</v>
      </c>
      <c r="R35" s="559">
        <v>0</v>
      </c>
      <c r="S35" s="560">
        <v>0</v>
      </c>
      <c r="T35" s="560">
        <v>0</v>
      </c>
      <c r="U35" s="560">
        <v>0</v>
      </c>
      <c r="V35" s="560">
        <v>0</v>
      </c>
      <c r="W35" s="560">
        <v>0</v>
      </c>
      <c r="X35" s="560">
        <v>0</v>
      </c>
      <c r="Y35" s="560">
        <v>0</v>
      </c>
      <c r="Z35" s="560">
        <v>0</v>
      </c>
      <c r="AA35" s="560">
        <v>0</v>
      </c>
      <c r="AB35" s="560">
        <v>0</v>
      </c>
      <c r="AC35" s="560">
        <v>0</v>
      </c>
      <c r="AD35" s="560">
        <v>0</v>
      </c>
      <c r="AE35" s="579">
        <v>0</v>
      </c>
      <c r="AF35" s="559">
        <v>0</v>
      </c>
      <c r="AG35" s="560">
        <v>0</v>
      </c>
      <c r="AH35" s="560">
        <v>0</v>
      </c>
      <c r="AI35" s="560">
        <v>0</v>
      </c>
      <c r="AJ35" s="560">
        <v>0</v>
      </c>
      <c r="AK35" s="560">
        <v>0</v>
      </c>
      <c r="AL35" s="560">
        <v>0</v>
      </c>
      <c r="AM35" s="560">
        <v>0</v>
      </c>
      <c r="AN35" s="560">
        <v>0</v>
      </c>
      <c r="AO35" s="560">
        <v>0</v>
      </c>
      <c r="AP35" s="560">
        <v>0</v>
      </c>
      <c r="AQ35" s="560">
        <v>0</v>
      </c>
      <c r="AR35" s="560">
        <v>0</v>
      </c>
      <c r="AS35" s="579">
        <v>0</v>
      </c>
      <c r="AT35" s="559">
        <v>0</v>
      </c>
      <c r="AU35" s="560">
        <v>0</v>
      </c>
      <c r="AV35" s="560">
        <v>0</v>
      </c>
      <c r="AW35" s="560">
        <v>0</v>
      </c>
      <c r="AX35" s="560">
        <v>0</v>
      </c>
      <c r="AY35" s="560">
        <v>0</v>
      </c>
      <c r="AZ35" s="560">
        <v>0</v>
      </c>
      <c r="BA35" s="560">
        <v>0</v>
      </c>
      <c r="BB35" s="560">
        <v>0</v>
      </c>
      <c r="BC35" s="560">
        <v>0</v>
      </c>
      <c r="BD35" s="560">
        <v>0</v>
      </c>
      <c r="BE35" s="560">
        <v>0</v>
      </c>
      <c r="BF35" s="579">
        <v>0</v>
      </c>
      <c r="BG35" s="559">
        <v>0</v>
      </c>
      <c r="BH35" s="560">
        <v>0</v>
      </c>
      <c r="BI35" s="560">
        <v>0</v>
      </c>
      <c r="BJ35" s="560">
        <v>0</v>
      </c>
      <c r="BK35" s="560">
        <v>0</v>
      </c>
      <c r="BL35" s="560">
        <v>0</v>
      </c>
      <c r="BM35" s="560">
        <v>0</v>
      </c>
      <c r="BN35" s="560">
        <v>0</v>
      </c>
      <c r="BO35" s="560">
        <v>0</v>
      </c>
      <c r="BP35" s="560">
        <v>0</v>
      </c>
      <c r="BQ35" s="560">
        <v>0</v>
      </c>
      <c r="BR35" s="560">
        <v>0</v>
      </c>
      <c r="BS35" s="579">
        <v>0</v>
      </c>
    </row>
    <row r="36" spans="1:71">
      <c r="A36" s="556"/>
      <c r="B36" s="550" t="s">
        <v>74</v>
      </c>
      <c r="C36" s="558" t="s">
        <v>73</v>
      </c>
      <c r="D36" s="559">
        <v>4196.5400000000009</v>
      </c>
      <c r="E36" s="560">
        <v>4061.57</v>
      </c>
      <c r="F36" s="560">
        <v>4319.1000000000013</v>
      </c>
      <c r="G36" s="560">
        <v>4321.24</v>
      </c>
      <c r="H36" s="560">
        <v>4263.2400000000016</v>
      </c>
      <c r="I36" s="560">
        <v>4220.9599999999991</v>
      </c>
      <c r="J36" s="560">
        <v>4270.340000000002</v>
      </c>
      <c r="K36" s="560">
        <v>4590.79</v>
      </c>
      <c r="L36" s="560">
        <v>4852.3499999999985</v>
      </c>
      <c r="M36" s="560">
        <v>4380.1399999999994</v>
      </c>
      <c r="N36" s="560">
        <v>6302.8000000000065</v>
      </c>
      <c r="O36" s="560">
        <v>5004.34</v>
      </c>
      <c r="P36" s="560">
        <v>1186.5899999999965</v>
      </c>
      <c r="Q36" s="579">
        <v>55970</v>
      </c>
      <c r="R36" s="559">
        <v>5633</v>
      </c>
      <c r="S36" s="560">
        <v>5231</v>
      </c>
      <c r="T36" s="560">
        <v>4984</v>
      </c>
      <c r="U36" s="560">
        <v>5388</v>
      </c>
      <c r="V36" s="560">
        <v>5514</v>
      </c>
      <c r="W36" s="560">
        <v>7477</v>
      </c>
      <c r="X36" s="560">
        <v>6001</v>
      </c>
      <c r="Y36" s="560">
        <v>6058</v>
      </c>
      <c r="Z36" s="560">
        <v>4644</v>
      </c>
      <c r="AA36" s="560">
        <v>6559</v>
      </c>
      <c r="AB36" s="560">
        <v>4466</v>
      </c>
      <c r="AC36" s="560">
        <v>5604</v>
      </c>
      <c r="AD36" s="560">
        <v>3035</v>
      </c>
      <c r="AE36" s="579">
        <v>70594</v>
      </c>
      <c r="AF36" s="559">
        <v>5046</v>
      </c>
      <c r="AG36" s="560">
        <v>5110</v>
      </c>
      <c r="AH36" s="560">
        <v>5334</v>
      </c>
      <c r="AI36" s="560">
        <v>5008.1900000000005</v>
      </c>
      <c r="AJ36" s="560">
        <v>9023</v>
      </c>
      <c r="AK36" s="560">
        <v>5043</v>
      </c>
      <c r="AL36" s="560">
        <v>16651</v>
      </c>
      <c r="AM36" s="560">
        <v>4914</v>
      </c>
      <c r="AN36" s="560">
        <v>8137</v>
      </c>
      <c r="AO36" s="560">
        <v>5225</v>
      </c>
      <c r="AP36" s="560">
        <v>-9216</v>
      </c>
      <c r="AQ36" s="560">
        <v>4791.76</v>
      </c>
      <c r="AR36" s="560">
        <v>-338.95000000000437</v>
      </c>
      <c r="AS36" s="579">
        <v>64728</v>
      </c>
      <c r="AT36" s="559">
        <v>8207</v>
      </c>
      <c r="AU36" s="560">
        <v>10712</v>
      </c>
      <c r="AV36" s="560">
        <v>11402</v>
      </c>
      <c r="AW36" s="560">
        <v>10822</v>
      </c>
      <c r="AX36" s="560">
        <v>10974</v>
      </c>
      <c r="AY36" s="560">
        <v>11114.17</v>
      </c>
      <c r="AZ36" s="560">
        <v>12988.971666666666</v>
      </c>
      <c r="BA36" s="560">
        <v>12988.971666666666</v>
      </c>
      <c r="BB36" s="560">
        <v>12988.971666666666</v>
      </c>
      <c r="BC36" s="560">
        <v>12988.971666666666</v>
      </c>
      <c r="BD36" s="560">
        <v>12988.971666666666</v>
      </c>
      <c r="BE36" s="560">
        <v>12988.971666666666</v>
      </c>
      <c r="BF36" s="579">
        <v>141165</v>
      </c>
      <c r="BG36" s="559">
        <v>6207.25</v>
      </c>
      <c r="BH36" s="560">
        <v>6207.25</v>
      </c>
      <c r="BI36" s="560">
        <v>6207.25</v>
      </c>
      <c r="BJ36" s="560">
        <v>6207.25</v>
      </c>
      <c r="BK36" s="560">
        <v>6207.25</v>
      </c>
      <c r="BL36" s="560">
        <v>6207.25</v>
      </c>
      <c r="BM36" s="560">
        <v>6207.25</v>
      </c>
      <c r="BN36" s="560">
        <v>6207.25</v>
      </c>
      <c r="BO36" s="560">
        <v>6207.25</v>
      </c>
      <c r="BP36" s="560">
        <v>6207.25</v>
      </c>
      <c r="BQ36" s="560">
        <v>6207.25</v>
      </c>
      <c r="BR36" s="560">
        <v>6207.25</v>
      </c>
      <c r="BS36" s="579">
        <v>74487</v>
      </c>
    </row>
    <row r="37" spans="1:71">
      <c r="A37" s="556"/>
      <c r="B37" s="550" t="s">
        <v>132</v>
      </c>
      <c r="C37" s="558" t="s">
        <v>342</v>
      </c>
      <c r="D37" s="559"/>
      <c r="E37" s="560"/>
      <c r="F37" s="560"/>
      <c r="G37" s="560"/>
      <c r="H37" s="560"/>
      <c r="I37" s="560"/>
      <c r="J37" s="560"/>
      <c r="K37" s="560"/>
      <c r="L37" s="560"/>
      <c r="M37" s="560"/>
      <c r="N37" s="560"/>
      <c r="O37" s="560"/>
      <c r="P37" s="560">
        <v>0</v>
      </c>
      <c r="Q37" s="579">
        <v>0</v>
      </c>
      <c r="R37" s="559">
        <v>0</v>
      </c>
      <c r="S37" s="560">
        <v>0</v>
      </c>
      <c r="T37" s="560">
        <v>0</v>
      </c>
      <c r="U37" s="560">
        <v>0</v>
      </c>
      <c r="V37" s="560">
        <v>0</v>
      </c>
      <c r="W37" s="560">
        <v>0</v>
      </c>
      <c r="X37" s="560">
        <v>0</v>
      </c>
      <c r="Y37" s="560">
        <v>0</v>
      </c>
      <c r="Z37" s="560">
        <v>0</v>
      </c>
      <c r="AA37" s="560">
        <v>0</v>
      </c>
      <c r="AB37" s="560">
        <v>0</v>
      </c>
      <c r="AC37" s="560">
        <v>0</v>
      </c>
      <c r="AD37" s="560">
        <v>0</v>
      </c>
      <c r="AE37" s="579">
        <v>0</v>
      </c>
      <c r="AF37" s="559">
        <v>0</v>
      </c>
      <c r="AG37" s="560">
        <v>0</v>
      </c>
      <c r="AH37" s="560">
        <v>0</v>
      </c>
      <c r="AI37" s="560">
        <v>0</v>
      </c>
      <c r="AJ37" s="560">
        <v>0</v>
      </c>
      <c r="AK37" s="560">
        <v>0</v>
      </c>
      <c r="AL37" s="560">
        <v>0</v>
      </c>
      <c r="AM37" s="560">
        <v>0</v>
      </c>
      <c r="AN37" s="560">
        <v>0</v>
      </c>
      <c r="AO37" s="560">
        <v>0</v>
      </c>
      <c r="AP37" s="560">
        <v>0</v>
      </c>
      <c r="AQ37" s="560">
        <v>0</v>
      </c>
      <c r="AR37" s="560">
        <v>0</v>
      </c>
      <c r="AS37" s="579">
        <v>0</v>
      </c>
      <c r="AT37" s="559">
        <v>0</v>
      </c>
      <c r="AU37" s="560">
        <v>0</v>
      </c>
      <c r="AV37" s="560">
        <v>0</v>
      </c>
      <c r="AW37" s="560">
        <v>0</v>
      </c>
      <c r="AX37" s="560">
        <v>0</v>
      </c>
      <c r="AY37" s="560">
        <v>0</v>
      </c>
      <c r="AZ37" s="560">
        <v>0</v>
      </c>
      <c r="BA37" s="560">
        <v>0</v>
      </c>
      <c r="BB37" s="560">
        <v>0</v>
      </c>
      <c r="BC37" s="560">
        <v>0</v>
      </c>
      <c r="BD37" s="560">
        <v>0</v>
      </c>
      <c r="BE37" s="560">
        <v>0</v>
      </c>
      <c r="BF37" s="579">
        <v>0</v>
      </c>
      <c r="BG37" s="559">
        <v>0</v>
      </c>
      <c r="BH37" s="560">
        <v>0</v>
      </c>
      <c r="BI37" s="560">
        <v>0</v>
      </c>
      <c r="BJ37" s="560">
        <v>0</v>
      </c>
      <c r="BK37" s="560">
        <v>0</v>
      </c>
      <c r="BL37" s="560">
        <v>0</v>
      </c>
      <c r="BM37" s="560">
        <v>0</v>
      </c>
      <c r="BN37" s="560">
        <v>0</v>
      </c>
      <c r="BO37" s="560">
        <v>0</v>
      </c>
      <c r="BP37" s="560">
        <v>0</v>
      </c>
      <c r="BQ37" s="560">
        <v>0</v>
      </c>
      <c r="BR37" s="560">
        <v>0</v>
      </c>
      <c r="BS37" s="579">
        <v>0</v>
      </c>
    </row>
    <row r="38" spans="1:71">
      <c r="A38" s="556"/>
      <c r="B38" s="550" t="s">
        <v>365</v>
      </c>
      <c r="C38" s="558" t="s">
        <v>364</v>
      </c>
      <c r="D38" s="559"/>
      <c r="E38" s="560"/>
      <c r="F38" s="560"/>
      <c r="G38" s="560"/>
      <c r="H38" s="560"/>
      <c r="I38" s="560"/>
      <c r="J38" s="560"/>
      <c r="K38" s="560"/>
      <c r="L38" s="560"/>
      <c r="M38" s="560"/>
      <c r="N38" s="560"/>
      <c r="O38" s="560"/>
      <c r="P38" s="560">
        <v>0</v>
      </c>
      <c r="Q38" s="579">
        <v>0</v>
      </c>
      <c r="R38" s="559">
        <v>0</v>
      </c>
      <c r="S38" s="560">
        <v>0</v>
      </c>
      <c r="T38" s="560">
        <v>0</v>
      </c>
      <c r="U38" s="560">
        <v>0</v>
      </c>
      <c r="V38" s="560">
        <v>0</v>
      </c>
      <c r="W38" s="560">
        <v>0</v>
      </c>
      <c r="X38" s="560">
        <v>0</v>
      </c>
      <c r="Y38" s="560">
        <v>0</v>
      </c>
      <c r="Z38" s="560">
        <v>0</v>
      </c>
      <c r="AA38" s="560">
        <v>0</v>
      </c>
      <c r="AB38" s="560">
        <v>0</v>
      </c>
      <c r="AC38" s="560">
        <v>0</v>
      </c>
      <c r="AD38" s="560">
        <v>0</v>
      </c>
      <c r="AE38" s="579">
        <v>0</v>
      </c>
      <c r="AF38" s="559">
        <v>0</v>
      </c>
      <c r="AG38" s="560">
        <v>0</v>
      </c>
      <c r="AH38" s="560">
        <v>0</v>
      </c>
      <c r="AI38" s="560">
        <v>0</v>
      </c>
      <c r="AJ38" s="560">
        <v>0</v>
      </c>
      <c r="AK38" s="560">
        <v>0</v>
      </c>
      <c r="AL38" s="560">
        <v>0</v>
      </c>
      <c r="AM38" s="560">
        <v>0</v>
      </c>
      <c r="AN38" s="560">
        <v>0</v>
      </c>
      <c r="AO38" s="560">
        <v>0</v>
      </c>
      <c r="AP38" s="560">
        <v>0</v>
      </c>
      <c r="AQ38" s="560">
        <v>0</v>
      </c>
      <c r="AR38" s="560">
        <v>0</v>
      </c>
      <c r="AS38" s="579">
        <v>0</v>
      </c>
      <c r="AT38" s="559">
        <v>0</v>
      </c>
      <c r="AU38" s="560">
        <v>0</v>
      </c>
      <c r="AV38" s="560">
        <v>0</v>
      </c>
      <c r="AW38" s="560">
        <v>0</v>
      </c>
      <c r="AX38" s="560">
        <v>0</v>
      </c>
      <c r="AY38" s="560">
        <v>0</v>
      </c>
      <c r="AZ38" s="560">
        <v>0</v>
      </c>
      <c r="BA38" s="560">
        <v>0</v>
      </c>
      <c r="BB38" s="560">
        <v>0</v>
      </c>
      <c r="BC38" s="560">
        <v>0</v>
      </c>
      <c r="BD38" s="560">
        <v>0</v>
      </c>
      <c r="BE38" s="560">
        <v>0</v>
      </c>
      <c r="BF38" s="579">
        <v>0</v>
      </c>
      <c r="BG38" s="559">
        <v>0</v>
      </c>
      <c r="BH38" s="560">
        <v>0</v>
      </c>
      <c r="BI38" s="560">
        <v>0</v>
      </c>
      <c r="BJ38" s="560">
        <v>0</v>
      </c>
      <c r="BK38" s="560">
        <v>0</v>
      </c>
      <c r="BL38" s="560">
        <v>0</v>
      </c>
      <c r="BM38" s="560">
        <v>0</v>
      </c>
      <c r="BN38" s="560">
        <v>0</v>
      </c>
      <c r="BO38" s="560">
        <v>0</v>
      </c>
      <c r="BP38" s="560">
        <v>0</v>
      </c>
      <c r="BQ38" s="560">
        <v>0</v>
      </c>
      <c r="BR38" s="560">
        <v>0</v>
      </c>
      <c r="BS38" s="579">
        <v>0</v>
      </c>
    </row>
    <row r="39" spans="1:71">
      <c r="A39" s="556"/>
      <c r="B39" s="550" t="s">
        <v>78</v>
      </c>
      <c r="C39" s="558" t="s">
        <v>343</v>
      </c>
      <c r="D39" s="559"/>
      <c r="E39" s="560"/>
      <c r="F39" s="560"/>
      <c r="G39" s="560"/>
      <c r="H39" s="560"/>
      <c r="I39" s="560"/>
      <c r="J39" s="560"/>
      <c r="K39" s="560"/>
      <c r="L39" s="560"/>
      <c r="M39" s="560"/>
      <c r="N39" s="560"/>
      <c r="O39" s="560"/>
      <c r="P39" s="560">
        <v>0</v>
      </c>
      <c r="Q39" s="579">
        <v>0</v>
      </c>
      <c r="R39" s="559">
        <v>0</v>
      </c>
      <c r="S39" s="560">
        <v>0</v>
      </c>
      <c r="T39" s="560">
        <v>0</v>
      </c>
      <c r="U39" s="560">
        <v>0</v>
      </c>
      <c r="V39" s="560">
        <v>0</v>
      </c>
      <c r="W39" s="560">
        <v>0</v>
      </c>
      <c r="X39" s="560">
        <v>0</v>
      </c>
      <c r="Y39" s="560">
        <v>0</v>
      </c>
      <c r="Z39" s="560">
        <v>0</v>
      </c>
      <c r="AA39" s="560">
        <v>0</v>
      </c>
      <c r="AB39" s="560">
        <v>0</v>
      </c>
      <c r="AC39" s="560">
        <v>0</v>
      </c>
      <c r="AD39" s="560">
        <v>0</v>
      </c>
      <c r="AE39" s="579">
        <v>0</v>
      </c>
      <c r="AF39" s="559">
        <v>0</v>
      </c>
      <c r="AG39" s="560">
        <v>0</v>
      </c>
      <c r="AH39" s="560">
        <v>0</v>
      </c>
      <c r="AI39" s="560">
        <v>0</v>
      </c>
      <c r="AJ39" s="560">
        <v>0</v>
      </c>
      <c r="AK39" s="560">
        <v>0</v>
      </c>
      <c r="AL39" s="560">
        <v>0</v>
      </c>
      <c r="AM39" s="560">
        <v>0</v>
      </c>
      <c r="AN39" s="560">
        <v>0</v>
      </c>
      <c r="AO39" s="560">
        <v>0</v>
      </c>
      <c r="AP39" s="560">
        <v>0</v>
      </c>
      <c r="AQ39" s="560">
        <v>0</v>
      </c>
      <c r="AR39" s="560">
        <v>0</v>
      </c>
      <c r="AS39" s="579">
        <v>0</v>
      </c>
      <c r="AT39" s="559">
        <v>0</v>
      </c>
      <c r="AU39" s="560">
        <v>0</v>
      </c>
      <c r="AV39" s="560">
        <v>0</v>
      </c>
      <c r="AW39" s="560">
        <v>0</v>
      </c>
      <c r="AX39" s="560">
        <v>0</v>
      </c>
      <c r="AY39" s="560">
        <v>0</v>
      </c>
      <c r="AZ39" s="560">
        <v>0</v>
      </c>
      <c r="BA39" s="560">
        <v>0</v>
      </c>
      <c r="BB39" s="560">
        <v>0</v>
      </c>
      <c r="BC39" s="560">
        <v>0</v>
      </c>
      <c r="BD39" s="560">
        <v>0</v>
      </c>
      <c r="BE39" s="560">
        <v>0</v>
      </c>
      <c r="BF39" s="579">
        <v>0</v>
      </c>
      <c r="BG39" s="559">
        <v>0</v>
      </c>
      <c r="BH39" s="560">
        <v>0</v>
      </c>
      <c r="BI39" s="560">
        <v>0</v>
      </c>
      <c r="BJ39" s="560">
        <v>0</v>
      </c>
      <c r="BK39" s="560">
        <v>0</v>
      </c>
      <c r="BL39" s="560">
        <v>0</v>
      </c>
      <c r="BM39" s="560">
        <v>0</v>
      </c>
      <c r="BN39" s="560">
        <v>0</v>
      </c>
      <c r="BO39" s="560">
        <v>0</v>
      </c>
      <c r="BP39" s="560">
        <v>0</v>
      </c>
      <c r="BQ39" s="560">
        <v>0</v>
      </c>
      <c r="BR39" s="560">
        <v>0</v>
      </c>
      <c r="BS39" s="579">
        <v>0</v>
      </c>
    </row>
    <row r="40" spans="1:71">
      <c r="A40" s="556"/>
      <c r="B40" s="587">
        <v>93.575000000000003</v>
      </c>
      <c r="C40" s="558" t="s">
        <v>66</v>
      </c>
      <c r="D40" s="559">
        <v>0</v>
      </c>
      <c r="E40" s="560">
        <v>7786.4599999999991</v>
      </c>
      <c r="F40" s="560">
        <v>7939.46</v>
      </c>
      <c r="G40" s="560">
        <v>8179.7100000000009</v>
      </c>
      <c r="H40" s="560">
        <v>8057.22</v>
      </c>
      <c r="I40" s="560">
        <v>46.81</v>
      </c>
      <c r="J40" s="560">
        <v>0</v>
      </c>
      <c r="K40" s="560">
        <v>0</v>
      </c>
      <c r="L40" s="560">
        <v>0</v>
      </c>
      <c r="M40" s="560">
        <v>0</v>
      </c>
      <c r="N40" s="560">
        <v>-23905.79</v>
      </c>
      <c r="O40" s="560">
        <v>0</v>
      </c>
      <c r="P40" s="560">
        <v>-8103.869999999999</v>
      </c>
      <c r="Q40" s="579">
        <v>0</v>
      </c>
      <c r="R40" s="559">
        <v>0</v>
      </c>
      <c r="S40" s="560">
        <v>0</v>
      </c>
      <c r="T40" s="560">
        <v>0</v>
      </c>
      <c r="U40" s="560">
        <v>0</v>
      </c>
      <c r="V40" s="560">
        <v>0</v>
      </c>
      <c r="W40" s="560">
        <v>0</v>
      </c>
      <c r="X40" s="560">
        <v>0</v>
      </c>
      <c r="Y40" s="560">
        <v>0</v>
      </c>
      <c r="Z40" s="560">
        <v>0</v>
      </c>
      <c r="AA40" s="560">
        <v>0</v>
      </c>
      <c r="AB40" s="560">
        <v>0</v>
      </c>
      <c r="AC40" s="560">
        <v>0</v>
      </c>
      <c r="AD40" s="560">
        <v>0</v>
      </c>
      <c r="AE40" s="579">
        <v>0</v>
      </c>
      <c r="AF40" s="559">
        <v>0</v>
      </c>
      <c r="AG40" s="560">
        <v>0</v>
      </c>
      <c r="AH40" s="560">
        <v>0</v>
      </c>
      <c r="AI40" s="560">
        <v>0</v>
      </c>
      <c r="AJ40" s="560">
        <v>0</v>
      </c>
      <c r="AK40" s="560">
        <v>0</v>
      </c>
      <c r="AL40" s="560">
        <v>0</v>
      </c>
      <c r="AM40" s="560">
        <v>0</v>
      </c>
      <c r="AN40" s="560">
        <v>0</v>
      </c>
      <c r="AO40" s="560">
        <v>0</v>
      </c>
      <c r="AP40" s="560">
        <v>0</v>
      </c>
      <c r="AQ40" s="560">
        <v>0</v>
      </c>
      <c r="AR40" s="560">
        <v>0</v>
      </c>
      <c r="AS40" s="579">
        <v>0</v>
      </c>
      <c r="AT40" s="559">
        <v>0</v>
      </c>
      <c r="AU40" s="560">
        <v>0</v>
      </c>
      <c r="AV40" s="560">
        <v>0</v>
      </c>
      <c r="AW40" s="560">
        <v>0</v>
      </c>
      <c r="AX40" s="560">
        <v>0</v>
      </c>
      <c r="AY40" s="560">
        <v>0</v>
      </c>
      <c r="AZ40" s="560">
        <v>0</v>
      </c>
      <c r="BA40" s="560">
        <v>0</v>
      </c>
      <c r="BB40" s="560">
        <v>0</v>
      </c>
      <c r="BC40" s="560">
        <v>0</v>
      </c>
      <c r="BD40" s="560">
        <v>0</v>
      </c>
      <c r="BE40" s="560">
        <v>0</v>
      </c>
      <c r="BF40" s="579">
        <v>0</v>
      </c>
      <c r="BG40" s="559">
        <v>0</v>
      </c>
      <c r="BH40" s="560">
        <v>0</v>
      </c>
      <c r="BI40" s="560">
        <v>0</v>
      </c>
      <c r="BJ40" s="560">
        <v>0</v>
      </c>
      <c r="BK40" s="560">
        <v>0</v>
      </c>
      <c r="BL40" s="560">
        <v>0</v>
      </c>
      <c r="BM40" s="560">
        <v>0</v>
      </c>
      <c r="BN40" s="560">
        <v>0</v>
      </c>
      <c r="BO40" s="560">
        <v>0</v>
      </c>
      <c r="BP40" s="560">
        <v>0</v>
      </c>
      <c r="BQ40" s="560">
        <v>0</v>
      </c>
      <c r="BR40" s="560">
        <v>0</v>
      </c>
      <c r="BS40" s="579">
        <v>0</v>
      </c>
    </row>
    <row r="41" spans="1:71">
      <c r="A41" s="556"/>
      <c r="B41" s="587">
        <v>93.667000000000002</v>
      </c>
      <c r="C41" s="558" t="s">
        <v>81</v>
      </c>
      <c r="D41" s="559">
        <v>0</v>
      </c>
      <c r="E41" s="560">
        <v>359935.8299999999</v>
      </c>
      <c r="F41" s="560">
        <v>367006.38999999996</v>
      </c>
      <c r="G41" s="560">
        <v>378118.20000000007</v>
      </c>
      <c r="H41" s="560">
        <v>372452.4</v>
      </c>
      <c r="I41" s="560">
        <v>371447.59</v>
      </c>
      <c r="J41" s="560">
        <v>369866.11999999994</v>
      </c>
      <c r="K41" s="560">
        <v>377039.95000000007</v>
      </c>
      <c r="L41" s="560">
        <v>2315.84</v>
      </c>
      <c r="M41" s="560">
        <v>0</v>
      </c>
      <c r="N41" s="560">
        <v>24116.920000000042</v>
      </c>
      <c r="O41" s="560">
        <v>0</v>
      </c>
      <c r="P41" s="560">
        <v>-375435.23999999976</v>
      </c>
      <c r="Q41" s="579">
        <v>2246864</v>
      </c>
      <c r="R41" s="559">
        <v>0</v>
      </c>
      <c r="S41" s="560">
        <v>421089</v>
      </c>
      <c r="T41" s="560">
        <v>432896</v>
      </c>
      <c r="U41" s="560">
        <v>434045</v>
      </c>
      <c r="V41" s="560">
        <v>436736</v>
      </c>
      <c r="W41" s="560">
        <v>1342</v>
      </c>
      <c r="X41" s="560">
        <v>45</v>
      </c>
      <c r="Y41" s="560">
        <v>0</v>
      </c>
      <c r="Z41" s="560">
        <v>0</v>
      </c>
      <c r="AA41" s="560">
        <v>0</v>
      </c>
      <c r="AB41" s="560">
        <v>113536</v>
      </c>
      <c r="AC41" s="560">
        <v>0</v>
      </c>
      <c r="AD41" s="560">
        <v>413675</v>
      </c>
      <c r="AE41" s="579">
        <v>2253364</v>
      </c>
      <c r="AF41" s="559">
        <v>0</v>
      </c>
      <c r="AG41" s="560">
        <v>485473</v>
      </c>
      <c r="AH41" s="560">
        <v>478366</v>
      </c>
      <c r="AI41" s="560">
        <v>485206.85</v>
      </c>
      <c r="AJ41" s="560">
        <v>467119.24000000005</v>
      </c>
      <c r="AK41" s="560">
        <v>469473</v>
      </c>
      <c r="AL41" s="560">
        <v>606906.2799999998</v>
      </c>
      <c r="AM41" s="560">
        <v>-3747</v>
      </c>
      <c r="AN41" s="560">
        <v>-1044928</v>
      </c>
      <c r="AO41" s="560">
        <v>-974</v>
      </c>
      <c r="AP41" s="560">
        <v>-1408322.83</v>
      </c>
      <c r="AQ41" s="560">
        <v>-6991.58</v>
      </c>
      <c r="AR41" s="560">
        <v>1725783.0400000005</v>
      </c>
      <c r="AS41" s="579">
        <v>2253364</v>
      </c>
      <c r="AT41" s="559">
        <v>0</v>
      </c>
      <c r="AU41" s="560">
        <v>611361</v>
      </c>
      <c r="AV41" s="560">
        <v>608613</v>
      </c>
      <c r="AW41" s="560">
        <v>603965</v>
      </c>
      <c r="AX41" s="560">
        <v>616492</v>
      </c>
      <c r="AY41" s="560">
        <v>652834.28999999992</v>
      </c>
      <c r="AZ41" s="560">
        <v>-139983.54833333331</v>
      </c>
      <c r="BA41" s="560">
        <v>-139983.54833333331</v>
      </c>
      <c r="BB41" s="560">
        <v>-139983.54833333331</v>
      </c>
      <c r="BC41" s="560">
        <v>-139983.54833333331</v>
      </c>
      <c r="BD41" s="560">
        <v>-139983.54833333331</v>
      </c>
      <c r="BE41" s="560">
        <v>-139983.54833333331</v>
      </c>
      <c r="BF41" s="579">
        <v>2253364</v>
      </c>
      <c r="BG41" s="559">
        <v>187780.33333333334</v>
      </c>
      <c r="BH41" s="560">
        <v>187780.33333333334</v>
      </c>
      <c r="BI41" s="560">
        <v>187780.33333333334</v>
      </c>
      <c r="BJ41" s="560">
        <v>187780.33333333334</v>
      </c>
      <c r="BK41" s="560">
        <v>187780.33333333334</v>
      </c>
      <c r="BL41" s="560">
        <v>187780.33333333334</v>
      </c>
      <c r="BM41" s="560">
        <v>187780.33333333334</v>
      </c>
      <c r="BN41" s="560">
        <v>187780.33333333334</v>
      </c>
      <c r="BO41" s="560">
        <v>187780.33333333334</v>
      </c>
      <c r="BP41" s="560">
        <v>187780.33333333334</v>
      </c>
      <c r="BQ41" s="560">
        <v>187780.33333333334</v>
      </c>
      <c r="BR41" s="560">
        <v>187780.33333333334</v>
      </c>
      <c r="BS41" s="579">
        <v>2253364</v>
      </c>
    </row>
    <row r="42" spans="1:71">
      <c r="A42" s="556"/>
      <c r="B42" s="550" t="s">
        <v>141</v>
      </c>
      <c r="C42" s="558" t="s">
        <v>140</v>
      </c>
      <c r="D42" s="559"/>
      <c r="E42" s="560"/>
      <c r="F42" s="560"/>
      <c r="G42" s="560"/>
      <c r="H42" s="560"/>
      <c r="I42" s="560"/>
      <c r="J42" s="560"/>
      <c r="K42" s="560"/>
      <c r="L42" s="560"/>
      <c r="M42" s="560"/>
      <c r="N42" s="560"/>
      <c r="O42" s="560"/>
      <c r="P42" s="560">
        <v>0</v>
      </c>
      <c r="Q42" s="579">
        <v>0</v>
      </c>
      <c r="R42" s="559">
        <v>0</v>
      </c>
      <c r="S42" s="560">
        <v>0</v>
      </c>
      <c r="T42" s="560">
        <v>0</v>
      </c>
      <c r="U42" s="560">
        <v>0</v>
      </c>
      <c r="V42" s="560">
        <v>0</v>
      </c>
      <c r="W42" s="560">
        <v>0</v>
      </c>
      <c r="X42" s="560">
        <v>0</v>
      </c>
      <c r="Y42" s="560">
        <v>0</v>
      </c>
      <c r="Z42" s="560">
        <v>0</v>
      </c>
      <c r="AA42" s="560">
        <v>0</v>
      </c>
      <c r="AB42" s="560">
        <v>0</v>
      </c>
      <c r="AC42" s="560">
        <v>0</v>
      </c>
      <c r="AD42" s="560">
        <v>0</v>
      </c>
      <c r="AE42" s="579">
        <v>0</v>
      </c>
      <c r="AF42" s="559">
        <v>0</v>
      </c>
      <c r="AG42" s="560">
        <v>0</v>
      </c>
      <c r="AH42" s="560">
        <v>0</v>
      </c>
      <c r="AI42" s="560">
        <v>0</v>
      </c>
      <c r="AJ42" s="560">
        <v>0</v>
      </c>
      <c r="AK42" s="560">
        <v>0</v>
      </c>
      <c r="AL42" s="560">
        <v>0</v>
      </c>
      <c r="AM42" s="560">
        <v>0</v>
      </c>
      <c r="AN42" s="560">
        <v>0</v>
      </c>
      <c r="AO42" s="560">
        <v>0</v>
      </c>
      <c r="AP42" s="560">
        <v>0</v>
      </c>
      <c r="AQ42" s="560">
        <v>0</v>
      </c>
      <c r="AR42" s="560">
        <v>0</v>
      </c>
      <c r="AS42" s="579">
        <v>0</v>
      </c>
      <c r="AT42" s="559">
        <v>0</v>
      </c>
      <c r="AU42" s="560">
        <v>0</v>
      </c>
      <c r="AV42" s="560">
        <v>0</v>
      </c>
      <c r="AW42" s="560">
        <v>0</v>
      </c>
      <c r="AX42" s="560">
        <v>0</v>
      </c>
      <c r="AY42" s="560">
        <v>0</v>
      </c>
      <c r="AZ42" s="560">
        <v>0</v>
      </c>
      <c r="BA42" s="560">
        <v>0</v>
      </c>
      <c r="BB42" s="560">
        <v>0</v>
      </c>
      <c r="BC42" s="560">
        <v>0</v>
      </c>
      <c r="BD42" s="560">
        <v>0</v>
      </c>
      <c r="BE42" s="560">
        <v>0</v>
      </c>
      <c r="BF42" s="579">
        <v>0</v>
      </c>
      <c r="BG42" s="559">
        <v>0</v>
      </c>
      <c r="BH42" s="560">
        <v>0</v>
      </c>
      <c r="BI42" s="560">
        <v>0</v>
      </c>
      <c r="BJ42" s="560">
        <v>0</v>
      </c>
      <c r="BK42" s="560">
        <v>0</v>
      </c>
      <c r="BL42" s="560">
        <v>0</v>
      </c>
      <c r="BM42" s="560">
        <v>0</v>
      </c>
      <c r="BN42" s="560">
        <v>0</v>
      </c>
      <c r="BO42" s="560">
        <v>0</v>
      </c>
      <c r="BP42" s="560">
        <v>0</v>
      </c>
      <c r="BQ42" s="560">
        <v>0</v>
      </c>
      <c r="BR42" s="560">
        <v>0</v>
      </c>
      <c r="BS42" s="579">
        <v>0</v>
      </c>
    </row>
    <row r="43" spans="1:71" ht="15" customHeight="1">
      <c r="A43" s="556"/>
      <c r="B43" s="550" t="s">
        <v>125</v>
      </c>
      <c r="C43" s="558" t="s">
        <v>112</v>
      </c>
      <c r="D43" s="559">
        <v>24568.760000000006</v>
      </c>
      <c r="E43" s="560">
        <v>23778.020000000004</v>
      </c>
      <c r="F43" s="560">
        <v>25286.270000000004</v>
      </c>
      <c r="G43" s="560">
        <v>25299.45</v>
      </c>
      <c r="H43" s="560">
        <v>24959.45</v>
      </c>
      <c r="I43" s="560">
        <v>24711.619999999995</v>
      </c>
      <c r="J43" s="560">
        <v>25001.260000000002</v>
      </c>
      <c r="K43" s="560">
        <v>26878.039999999997</v>
      </c>
      <c r="L43" s="560">
        <v>26827.82</v>
      </c>
      <c r="M43" s="560">
        <v>25643.759999999998</v>
      </c>
      <c r="N43" s="560">
        <v>10027.799999999988</v>
      </c>
      <c r="O43" s="560">
        <v>29296.989999999998</v>
      </c>
      <c r="P43" s="560">
        <v>35379.760000000009</v>
      </c>
      <c r="Q43" s="579">
        <v>327659</v>
      </c>
      <c r="R43" s="559">
        <v>21755</v>
      </c>
      <c r="S43" s="560">
        <v>20202</v>
      </c>
      <c r="T43" s="560">
        <v>19243</v>
      </c>
      <c r="U43" s="560">
        <v>20809</v>
      </c>
      <c r="V43" s="560">
        <v>21294</v>
      </c>
      <c r="W43" s="560">
        <v>28876</v>
      </c>
      <c r="X43" s="560">
        <v>23175</v>
      </c>
      <c r="Y43" s="560">
        <v>23393</v>
      </c>
      <c r="Z43" s="560">
        <v>26872</v>
      </c>
      <c r="AA43" s="560">
        <v>25331</v>
      </c>
      <c r="AB43" s="560">
        <v>14973</v>
      </c>
      <c r="AC43" s="560">
        <v>21641</v>
      </c>
      <c r="AD43" s="560">
        <v>5068</v>
      </c>
      <c r="AE43" s="579">
        <v>272632</v>
      </c>
      <c r="AF43" s="559">
        <v>18646</v>
      </c>
      <c r="AG43" s="560">
        <v>18881</v>
      </c>
      <c r="AH43" s="560">
        <v>19710</v>
      </c>
      <c r="AI43" s="560">
        <v>18506.009999999998</v>
      </c>
      <c r="AJ43" s="560">
        <v>19006</v>
      </c>
      <c r="AK43" s="560">
        <v>18635</v>
      </c>
      <c r="AL43" s="560">
        <v>16976</v>
      </c>
      <c r="AM43" s="560">
        <v>18159</v>
      </c>
      <c r="AN43" s="560">
        <v>30066</v>
      </c>
      <c r="AO43" s="560">
        <v>19305</v>
      </c>
      <c r="AP43" s="560">
        <v>-33961</v>
      </c>
      <c r="AQ43" s="560">
        <v>17706.210000000003</v>
      </c>
      <c r="AR43" s="560">
        <v>57551.78</v>
      </c>
      <c r="AS43" s="579">
        <v>239187</v>
      </c>
      <c r="AT43" s="559">
        <v>16167</v>
      </c>
      <c r="AU43" s="560">
        <v>21103</v>
      </c>
      <c r="AV43" s="560">
        <v>22462</v>
      </c>
      <c r="AW43" s="560">
        <v>19217</v>
      </c>
      <c r="AX43" s="560">
        <v>21620</v>
      </c>
      <c r="AY43" s="560">
        <v>21896.129999999994</v>
      </c>
      <c r="AZ43" s="560">
        <v>25943.645</v>
      </c>
      <c r="BA43" s="560">
        <v>25943.645</v>
      </c>
      <c r="BB43" s="560">
        <v>25943.645</v>
      </c>
      <c r="BC43" s="560">
        <v>25943.645</v>
      </c>
      <c r="BD43" s="560">
        <v>25943.645</v>
      </c>
      <c r="BE43" s="560">
        <v>25943.645</v>
      </c>
      <c r="BF43" s="579">
        <v>278127</v>
      </c>
      <c r="BG43" s="559">
        <v>34566.25</v>
      </c>
      <c r="BH43" s="560">
        <v>34566.25</v>
      </c>
      <c r="BI43" s="560">
        <v>34566.25</v>
      </c>
      <c r="BJ43" s="560">
        <v>34566.25</v>
      </c>
      <c r="BK43" s="560">
        <v>34566.25</v>
      </c>
      <c r="BL43" s="560">
        <v>34566.25</v>
      </c>
      <c r="BM43" s="560">
        <v>34566.25</v>
      </c>
      <c r="BN43" s="560">
        <v>34566.25</v>
      </c>
      <c r="BO43" s="560">
        <v>34566.25</v>
      </c>
      <c r="BP43" s="560">
        <v>34566.25</v>
      </c>
      <c r="BQ43" s="560">
        <v>34566.25</v>
      </c>
      <c r="BR43" s="560">
        <v>34566.25</v>
      </c>
      <c r="BS43" s="579">
        <v>414795</v>
      </c>
    </row>
    <row r="44" spans="1:71" s="586" customFormat="1">
      <c r="A44" s="580" t="s">
        <v>344</v>
      </c>
      <c r="B44" s="581"/>
      <c r="C44" s="582"/>
      <c r="D44" s="583">
        <v>28765.300000000007</v>
      </c>
      <c r="E44" s="584">
        <v>1488518.6099999996</v>
      </c>
      <c r="F44" s="584">
        <v>1518977.92</v>
      </c>
      <c r="G44" s="584">
        <v>1564086.9500000004</v>
      </c>
      <c r="H44" s="584">
        <v>1540696.11</v>
      </c>
      <c r="I44" s="584">
        <v>1528339.1</v>
      </c>
      <c r="J44" s="584">
        <v>1522247.9400000002</v>
      </c>
      <c r="K44" s="584">
        <v>1553403.0500000003</v>
      </c>
      <c r="L44" s="584">
        <v>1139965.7400000002</v>
      </c>
      <c r="M44" s="584">
        <v>1178561.0500000003</v>
      </c>
      <c r="N44" s="584">
        <v>22159.540000001023</v>
      </c>
      <c r="O44" s="584">
        <v>34301.33</v>
      </c>
      <c r="P44" s="584">
        <v>-153024.64000000057</v>
      </c>
      <c r="Q44" s="585">
        <v>12966998</v>
      </c>
      <c r="R44" s="583">
        <v>27388</v>
      </c>
      <c r="S44" s="584">
        <v>1699505</v>
      </c>
      <c r="T44" s="584">
        <v>1745241</v>
      </c>
      <c r="U44" s="584">
        <v>1751779</v>
      </c>
      <c r="V44" s="584">
        <v>1763089</v>
      </c>
      <c r="W44" s="584">
        <v>1325976</v>
      </c>
      <c r="X44" s="584">
        <v>1322185</v>
      </c>
      <c r="Y44" s="584">
        <v>1322247</v>
      </c>
      <c r="Z44" s="584">
        <v>1344289.96</v>
      </c>
      <c r="AA44" s="584">
        <v>1378184</v>
      </c>
      <c r="AB44" s="584">
        <v>1346080</v>
      </c>
      <c r="AC44" s="584">
        <v>-2307359</v>
      </c>
      <c r="AD44" s="584">
        <v>214491.03999999911</v>
      </c>
      <c r="AE44" s="585">
        <v>12933096</v>
      </c>
      <c r="AF44" s="583">
        <v>23692</v>
      </c>
      <c r="AG44" s="584">
        <v>1810385</v>
      </c>
      <c r="AH44" s="584">
        <v>1785288</v>
      </c>
      <c r="AI44" s="584">
        <v>1808930.64</v>
      </c>
      <c r="AJ44" s="584">
        <v>1746888.0800000003</v>
      </c>
      <c r="AK44" s="584">
        <v>1751199</v>
      </c>
      <c r="AL44" s="584">
        <v>1700506.1</v>
      </c>
      <c r="AM44" s="584">
        <v>1257195</v>
      </c>
      <c r="AN44" s="584">
        <v>232113</v>
      </c>
      <c r="AO44" s="584">
        <v>171836.44000000018</v>
      </c>
      <c r="AP44" s="584">
        <v>-2928604.72</v>
      </c>
      <c r="AQ44" s="584">
        <v>1217904.7799999998</v>
      </c>
      <c r="AR44" s="584">
        <v>2316451.6800000034</v>
      </c>
      <c r="AS44" s="585">
        <v>12893785</v>
      </c>
      <c r="AT44" s="583">
        <v>24374</v>
      </c>
      <c r="AU44" s="584">
        <v>2063289</v>
      </c>
      <c r="AV44" s="584">
        <v>2056208</v>
      </c>
      <c r="AW44" s="584">
        <v>3161444</v>
      </c>
      <c r="AX44" s="584">
        <v>2081120</v>
      </c>
      <c r="AY44" s="584">
        <v>2202295.94</v>
      </c>
      <c r="AZ44" s="584">
        <v>236738.51</v>
      </c>
      <c r="BA44" s="584">
        <v>236738.51</v>
      </c>
      <c r="BB44" s="584">
        <v>236738.51</v>
      </c>
      <c r="BC44" s="584">
        <v>236738.51</v>
      </c>
      <c r="BD44" s="584">
        <v>236738.51</v>
      </c>
      <c r="BE44" s="584">
        <v>236738.51</v>
      </c>
      <c r="BF44" s="585">
        <v>13009162</v>
      </c>
      <c r="BG44" s="583">
        <v>1089929.3333333333</v>
      </c>
      <c r="BH44" s="584">
        <v>1089929.3333333333</v>
      </c>
      <c r="BI44" s="584">
        <v>1089929.3333333333</v>
      </c>
      <c r="BJ44" s="584">
        <v>1089929.3333333333</v>
      </c>
      <c r="BK44" s="584">
        <v>1089929.3333333333</v>
      </c>
      <c r="BL44" s="584">
        <v>1089929.3333333333</v>
      </c>
      <c r="BM44" s="584">
        <v>1089929.3333333333</v>
      </c>
      <c r="BN44" s="584">
        <v>1089929.3333333333</v>
      </c>
      <c r="BO44" s="584">
        <v>1089929.3333333333</v>
      </c>
      <c r="BP44" s="584">
        <v>1089929.3333333333</v>
      </c>
      <c r="BQ44" s="584">
        <v>1089929.3333333333</v>
      </c>
      <c r="BR44" s="584">
        <v>1089929.3333333333</v>
      </c>
      <c r="BS44" s="585">
        <v>13079152</v>
      </c>
    </row>
    <row r="45" spans="1:71" ht="15" customHeight="1">
      <c r="A45" s="556" t="s">
        <v>34</v>
      </c>
      <c r="B45" s="550" t="s">
        <v>87</v>
      </c>
      <c r="C45" s="558" t="s">
        <v>86</v>
      </c>
      <c r="D45" s="559">
        <v>0</v>
      </c>
      <c r="E45" s="560">
        <v>0</v>
      </c>
      <c r="F45" s="560">
        <v>0</v>
      </c>
      <c r="G45" s="560">
        <v>0</v>
      </c>
      <c r="H45" s="560">
        <v>0</v>
      </c>
      <c r="I45" s="560">
        <v>0</v>
      </c>
      <c r="J45" s="560">
        <v>0</v>
      </c>
      <c r="K45" s="560">
        <v>0</v>
      </c>
      <c r="L45" s="560">
        <v>0</v>
      </c>
      <c r="M45" s="560">
        <v>0</v>
      </c>
      <c r="N45" s="560">
        <v>0</v>
      </c>
      <c r="O45" s="560">
        <v>0</v>
      </c>
      <c r="P45" s="560"/>
      <c r="Q45" s="579">
        <v>0</v>
      </c>
      <c r="R45" s="559">
        <v>0</v>
      </c>
      <c r="S45" s="560">
        <v>0</v>
      </c>
      <c r="T45" s="560">
        <v>0</v>
      </c>
      <c r="U45" s="560">
        <v>0</v>
      </c>
      <c r="V45" s="560">
        <v>0</v>
      </c>
      <c r="W45" s="560">
        <v>0</v>
      </c>
      <c r="X45" s="560">
        <v>0</v>
      </c>
      <c r="Y45" s="560">
        <v>0</v>
      </c>
      <c r="Z45" s="560">
        <v>0</v>
      </c>
      <c r="AA45" s="560">
        <v>0</v>
      </c>
      <c r="AB45" s="560">
        <v>0</v>
      </c>
      <c r="AC45" s="560">
        <v>0</v>
      </c>
      <c r="AD45" s="560"/>
      <c r="AE45" s="579">
        <v>0</v>
      </c>
      <c r="AF45" s="559">
        <v>0</v>
      </c>
      <c r="AG45" s="560">
        <v>0</v>
      </c>
      <c r="AH45" s="560">
        <v>0</v>
      </c>
      <c r="AI45" s="560">
        <v>0</v>
      </c>
      <c r="AJ45" s="560">
        <v>0</v>
      </c>
      <c r="AK45" s="560">
        <v>0</v>
      </c>
      <c r="AL45" s="560">
        <v>0</v>
      </c>
      <c r="AM45" s="560">
        <v>0</v>
      </c>
      <c r="AN45" s="560">
        <v>0</v>
      </c>
      <c r="AO45" s="560">
        <v>0</v>
      </c>
      <c r="AP45" s="560">
        <v>0</v>
      </c>
      <c r="AQ45" s="560">
        <v>0</v>
      </c>
      <c r="AR45" s="560">
        <v>0</v>
      </c>
      <c r="AS45" s="579">
        <v>0</v>
      </c>
      <c r="AT45" s="559">
        <v>0</v>
      </c>
      <c r="AU45" s="560">
        <v>0</v>
      </c>
      <c r="AV45" s="560">
        <v>0</v>
      </c>
      <c r="AW45" s="560">
        <v>0</v>
      </c>
      <c r="AX45" s="560">
        <v>0</v>
      </c>
      <c r="AY45" s="560">
        <v>0</v>
      </c>
      <c r="AZ45" s="560">
        <v>0</v>
      </c>
      <c r="BA45" s="560">
        <v>0</v>
      </c>
      <c r="BB45" s="560">
        <v>0</v>
      </c>
      <c r="BC45" s="560">
        <v>0</v>
      </c>
      <c r="BD45" s="560">
        <v>0</v>
      </c>
      <c r="BE45" s="560">
        <v>0</v>
      </c>
      <c r="BF45" s="579">
        <v>0</v>
      </c>
      <c r="BG45" s="559">
        <v>0</v>
      </c>
      <c r="BH45" s="560">
        <v>0</v>
      </c>
      <c r="BI45" s="560">
        <v>0</v>
      </c>
      <c r="BJ45" s="560">
        <v>0</v>
      </c>
      <c r="BK45" s="560">
        <v>0</v>
      </c>
      <c r="BL45" s="560">
        <v>0</v>
      </c>
      <c r="BM45" s="560">
        <v>0</v>
      </c>
      <c r="BN45" s="560">
        <v>0</v>
      </c>
      <c r="BO45" s="560">
        <v>0</v>
      </c>
      <c r="BP45" s="560">
        <v>0</v>
      </c>
      <c r="BQ45" s="560">
        <v>0</v>
      </c>
      <c r="BR45" s="560">
        <v>0</v>
      </c>
      <c r="BS45" s="579">
        <v>0</v>
      </c>
    </row>
    <row r="46" spans="1:71" ht="15" customHeight="1">
      <c r="A46" s="556"/>
      <c r="B46" s="550" t="s">
        <v>155</v>
      </c>
      <c r="C46" s="558" t="s">
        <v>156</v>
      </c>
      <c r="D46" s="559">
        <v>0</v>
      </c>
      <c r="E46" s="560">
        <v>0</v>
      </c>
      <c r="F46" s="560">
        <v>0</v>
      </c>
      <c r="G46" s="560">
        <v>0</v>
      </c>
      <c r="H46" s="560">
        <v>0</v>
      </c>
      <c r="I46" s="560">
        <v>0</v>
      </c>
      <c r="J46" s="560">
        <v>0</v>
      </c>
      <c r="K46" s="560">
        <v>0</v>
      </c>
      <c r="L46" s="560">
        <v>0</v>
      </c>
      <c r="M46" s="560">
        <v>0</v>
      </c>
      <c r="N46" s="560">
        <v>0</v>
      </c>
      <c r="O46" s="560">
        <v>0</v>
      </c>
      <c r="P46" s="560"/>
      <c r="Q46" s="579">
        <v>0</v>
      </c>
      <c r="R46" s="559">
        <v>0</v>
      </c>
      <c r="S46" s="560">
        <v>0</v>
      </c>
      <c r="T46" s="560">
        <v>0</v>
      </c>
      <c r="U46" s="560">
        <v>0</v>
      </c>
      <c r="V46" s="560">
        <v>0</v>
      </c>
      <c r="W46" s="560">
        <v>0</v>
      </c>
      <c r="X46" s="560">
        <v>0</v>
      </c>
      <c r="Y46" s="560">
        <v>0</v>
      </c>
      <c r="Z46" s="560">
        <v>0</v>
      </c>
      <c r="AA46" s="560">
        <v>0</v>
      </c>
      <c r="AB46" s="560">
        <v>0</v>
      </c>
      <c r="AC46" s="560">
        <v>0</v>
      </c>
      <c r="AD46" s="560"/>
      <c r="AE46" s="579">
        <v>0</v>
      </c>
      <c r="AF46" s="559">
        <v>0</v>
      </c>
      <c r="AG46" s="560">
        <v>0</v>
      </c>
      <c r="AH46" s="560">
        <v>0</v>
      </c>
      <c r="AI46" s="560">
        <v>0</v>
      </c>
      <c r="AJ46" s="560">
        <v>0</v>
      </c>
      <c r="AK46" s="560">
        <v>0</v>
      </c>
      <c r="AL46" s="560">
        <v>0</v>
      </c>
      <c r="AM46" s="560">
        <v>0</v>
      </c>
      <c r="AN46" s="560">
        <v>0</v>
      </c>
      <c r="AO46" s="560">
        <v>0</v>
      </c>
      <c r="AP46" s="560">
        <v>0</v>
      </c>
      <c r="AQ46" s="560">
        <v>0</v>
      </c>
      <c r="AR46" s="560">
        <v>0</v>
      </c>
      <c r="AS46" s="579">
        <v>0</v>
      </c>
      <c r="AT46" s="559">
        <v>0</v>
      </c>
      <c r="AU46" s="560">
        <v>0</v>
      </c>
      <c r="AV46" s="560">
        <v>0</v>
      </c>
      <c r="AW46" s="560">
        <v>0</v>
      </c>
      <c r="AX46" s="560">
        <v>0</v>
      </c>
      <c r="AY46" s="560">
        <v>0</v>
      </c>
      <c r="AZ46" s="560">
        <v>0</v>
      </c>
      <c r="BA46" s="560">
        <v>0</v>
      </c>
      <c r="BB46" s="560">
        <v>0</v>
      </c>
      <c r="BC46" s="560">
        <v>0</v>
      </c>
      <c r="BD46" s="560">
        <v>0</v>
      </c>
      <c r="BE46" s="560">
        <v>0</v>
      </c>
      <c r="BF46" s="579">
        <v>0</v>
      </c>
      <c r="BG46" s="559">
        <v>0</v>
      </c>
      <c r="BH46" s="560">
        <v>0</v>
      </c>
      <c r="BI46" s="560">
        <v>0</v>
      </c>
      <c r="BJ46" s="560">
        <v>0</v>
      </c>
      <c r="BK46" s="560">
        <v>0</v>
      </c>
      <c r="BL46" s="560">
        <v>0</v>
      </c>
      <c r="BM46" s="560">
        <v>0</v>
      </c>
      <c r="BN46" s="560">
        <v>0</v>
      </c>
      <c r="BO46" s="560">
        <v>0</v>
      </c>
      <c r="BP46" s="560">
        <v>0</v>
      </c>
      <c r="BQ46" s="560">
        <v>0</v>
      </c>
      <c r="BR46" s="560">
        <v>0</v>
      </c>
      <c r="BS46" s="579">
        <v>0</v>
      </c>
    </row>
    <row r="47" spans="1:71" s="541" customFormat="1" ht="15" customHeight="1">
      <c r="A47" s="556" t="s">
        <v>345</v>
      </c>
      <c r="B47" s="550"/>
      <c r="C47" s="558"/>
      <c r="D47" s="588">
        <v>0</v>
      </c>
      <c r="E47" s="589">
        <v>0</v>
      </c>
      <c r="F47" s="589">
        <v>0</v>
      </c>
      <c r="G47" s="589">
        <v>0</v>
      </c>
      <c r="H47" s="589">
        <v>0</v>
      </c>
      <c r="I47" s="589">
        <v>0</v>
      </c>
      <c r="J47" s="589">
        <v>0</v>
      </c>
      <c r="K47" s="589">
        <v>0</v>
      </c>
      <c r="L47" s="589">
        <v>0</v>
      </c>
      <c r="M47" s="589">
        <v>0</v>
      </c>
      <c r="N47" s="589">
        <v>0</v>
      </c>
      <c r="O47" s="589">
        <v>0</v>
      </c>
      <c r="P47" s="589"/>
      <c r="Q47" s="579">
        <v>0</v>
      </c>
      <c r="R47" s="588">
        <v>0</v>
      </c>
      <c r="S47" s="589">
        <v>0</v>
      </c>
      <c r="T47" s="589">
        <v>0</v>
      </c>
      <c r="U47" s="589">
        <v>0</v>
      </c>
      <c r="V47" s="589">
        <v>0</v>
      </c>
      <c r="W47" s="589">
        <v>0</v>
      </c>
      <c r="X47" s="589">
        <v>0</v>
      </c>
      <c r="Y47" s="589">
        <v>0</v>
      </c>
      <c r="Z47" s="589">
        <v>0</v>
      </c>
      <c r="AA47" s="589">
        <v>0</v>
      </c>
      <c r="AB47" s="589">
        <v>0</v>
      </c>
      <c r="AC47" s="589">
        <v>0</v>
      </c>
      <c r="AD47" s="589"/>
      <c r="AE47" s="579">
        <v>0</v>
      </c>
      <c r="AF47" s="588">
        <v>0</v>
      </c>
      <c r="AG47" s="589">
        <v>0</v>
      </c>
      <c r="AH47" s="589">
        <v>0</v>
      </c>
      <c r="AI47" s="589">
        <v>0</v>
      </c>
      <c r="AJ47" s="589">
        <v>0</v>
      </c>
      <c r="AK47" s="589">
        <v>0</v>
      </c>
      <c r="AL47" s="589">
        <v>0</v>
      </c>
      <c r="AM47" s="589">
        <v>0</v>
      </c>
      <c r="AN47" s="589">
        <v>0</v>
      </c>
      <c r="AO47" s="589">
        <v>0</v>
      </c>
      <c r="AP47" s="589">
        <v>0</v>
      </c>
      <c r="AQ47" s="589">
        <v>0</v>
      </c>
      <c r="AR47" s="589">
        <v>0</v>
      </c>
      <c r="AS47" s="579">
        <v>0</v>
      </c>
      <c r="AT47" s="588">
        <v>0</v>
      </c>
      <c r="AU47" s="589">
        <v>0</v>
      </c>
      <c r="AV47" s="589">
        <v>0</v>
      </c>
      <c r="AW47" s="589">
        <v>0</v>
      </c>
      <c r="AX47" s="589">
        <v>0</v>
      </c>
      <c r="AY47" s="589">
        <v>0</v>
      </c>
      <c r="AZ47" s="589">
        <v>0</v>
      </c>
      <c r="BA47" s="589">
        <v>0</v>
      </c>
      <c r="BB47" s="589">
        <v>0</v>
      </c>
      <c r="BC47" s="589">
        <v>0</v>
      </c>
      <c r="BD47" s="589">
        <v>0</v>
      </c>
      <c r="BE47" s="589">
        <v>0</v>
      </c>
      <c r="BF47" s="579">
        <v>0</v>
      </c>
      <c r="BG47" s="588">
        <v>0</v>
      </c>
      <c r="BH47" s="589">
        <v>0</v>
      </c>
      <c r="BI47" s="589">
        <v>0</v>
      </c>
      <c r="BJ47" s="589">
        <v>0</v>
      </c>
      <c r="BK47" s="589">
        <v>0</v>
      </c>
      <c r="BL47" s="589">
        <v>0</v>
      </c>
      <c r="BM47" s="589">
        <v>0</v>
      </c>
      <c r="BN47" s="589">
        <v>0</v>
      </c>
      <c r="BO47" s="589">
        <v>0</v>
      </c>
      <c r="BP47" s="589">
        <v>0</v>
      </c>
      <c r="BQ47" s="589">
        <v>0</v>
      </c>
      <c r="BR47" s="589">
        <v>0</v>
      </c>
      <c r="BS47" s="579">
        <v>0</v>
      </c>
    </row>
    <row r="48" spans="1:71" s="541" customFormat="1" ht="16.8" thickBot="1">
      <c r="A48" s="590" t="s">
        <v>152</v>
      </c>
      <c r="B48" s="567"/>
      <c r="C48" s="568"/>
      <c r="D48" s="591">
        <v>1610001.5300000003</v>
      </c>
      <c r="E48" s="591">
        <v>1558267.5599999996</v>
      </c>
      <c r="F48" s="591">
        <v>1656962.0499999998</v>
      </c>
      <c r="G48" s="591">
        <v>1657878.1300000004</v>
      </c>
      <c r="H48" s="591">
        <v>1635592.48</v>
      </c>
      <c r="I48" s="591">
        <v>1619368.73</v>
      </c>
      <c r="J48" s="591">
        <v>1638603.2500000002</v>
      </c>
      <c r="K48" s="591">
        <v>1761462.8699999999</v>
      </c>
      <c r="L48" s="591">
        <v>2349386.5700000003</v>
      </c>
      <c r="M48" s="591">
        <v>1680276.6400000001</v>
      </c>
      <c r="N48" s="591">
        <v>1902480.7300000016</v>
      </c>
      <c r="O48" s="591">
        <v>1919451.5300000003</v>
      </c>
      <c r="P48" s="591">
        <v>453963.92999999877</v>
      </c>
      <c r="Q48" s="592">
        <v>21443696</v>
      </c>
      <c r="R48" s="591">
        <v>1944793</v>
      </c>
      <c r="S48" s="591">
        <v>1806099</v>
      </c>
      <c r="T48" s="591">
        <v>1720545</v>
      </c>
      <c r="U48" s="591">
        <v>1860278</v>
      </c>
      <c r="V48" s="591">
        <v>1903576</v>
      </c>
      <c r="W48" s="591">
        <v>2580648</v>
      </c>
      <c r="X48" s="591">
        <v>2071696</v>
      </c>
      <c r="Y48" s="591">
        <v>2091258</v>
      </c>
      <c r="Z48" s="591">
        <v>1902323.600000001</v>
      </c>
      <c r="AA48" s="591">
        <v>2264304</v>
      </c>
      <c r="AB48" s="591">
        <v>2001713</v>
      </c>
      <c r="AC48" s="591">
        <v>1934794</v>
      </c>
      <c r="AD48" s="591">
        <v>259963.39999999851</v>
      </c>
      <c r="AE48" s="592">
        <v>24341991</v>
      </c>
      <c r="AF48" s="591">
        <v>1907070</v>
      </c>
      <c r="AG48" s="591">
        <v>1931253</v>
      </c>
      <c r="AH48" s="591">
        <v>2015808</v>
      </c>
      <c r="AI48" s="591">
        <v>1892948.0499999998</v>
      </c>
      <c r="AJ48" s="591">
        <v>1832756.0800000003</v>
      </c>
      <c r="AK48" s="591">
        <v>1906106</v>
      </c>
      <c r="AL48" s="591">
        <v>2018125.0300000003</v>
      </c>
      <c r="AM48" s="591">
        <v>1857352</v>
      </c>
      <c r="AN48" s="591">
        <v>3073600</v>
      </c>
      <c r="AO48" s="591">
        <v>1974445.9300000002</v>
      </c>
      <c r="AP48" s="591">
        <v>1853239.1299999994</v>
      </c>
      <c r="AQ48" s="591">
        <v>1811067.33</v>
      </c>
      <c r="AR48" s="591">
        <v>338444.45000000298</v>
      </c>
      <c r="AS48" s="592">
        <v>24412215</v>
      </c>
      <c r="AT48" s="591">
        <v>1744905</v>
      </c>
      <c r="AU48" s="591">
        <v>2278192</v>
      </c>
      <c r="AV48" s="591">
        <v>2425829</v>
      </c>
      <c r="AW48" s="591">
        <v>2189070</v>
      </c>
      <c r="AX48" s="591">
        <v>2333470</v>
      </c>
      <c r="AY48" s="591">
        <v>2363238.81</v>
      </c>
      <c r="AZ48" s="591">
        <v>2772682.6983333332</v>
      </c>
      <c r="BA48" s="591">
        <v>2772682.6983333332</v>
      </c>
      <c r="BB48" s="591">
        <v>2772682.6983333332</v>
      </c>
      <c r="BC48" s="591">
        <v>2772682.6983333332</v>
      </c>
      <c r="BD48" s="591">
        <v>2772682.6983333332</v>
      </c>
      <c r="BE48" s="591">
        <v>2772682.6983333332</v>
      </c>
      <c r="BF48" s="592">
        <v>29970801</v>
      </c>
      <c r="BG48" s="591">
        <v>2503399.25</v>
      </c>
      <c r="BH48" s="591">
        <v>2503399.25</v>
      </c>
      <c r="BI48" s="591">
        <v>2503399.25</v>
      </c>
      <c r="BJ48" s="591">
        <v>2503399.25</v>
      </c>
      <c r="BK48" s="591">
        <v>2503399.25</v>
      </c>
      <c r="BL48" s="591">
        <v>2503399.25</v>
      </c>
      <c r="BM48" s="591">
        <v>2503399.25</v>
      </c>
      <c r="BN48" s="591">
        <v>2503399.25</v>
      </c>
      <c r="BO48" s="591">
        <v>2503399.25</v>
      </c>
      <c r="BP48" s="591">
        <v>2503399.25</v>
      </c>
      <c r="BQ48" s="591">
        <v>2503399.25</v>
      </c>
      <c r="BR48" s="591">
        <v>2503399.25</v>
      </c>
      <c r="BS48" s="592">
        <v>30040791</v>
      </c>
    </row>
    <row r="49" spans="3:71" ht="19.95" customHeight="1">
      <c r="C49" s="556"/>
      <c r="D49" s="593"/>
      <c r="E49" s="594"/>
      <c r="F49" s="594"/>
      <c r="G49" s="594"/>
      <c r="H49" s="594"/>
      <c r="I49" s="594"/>
      <c r="J49" s="594"/>
      <c r="K49" s="594"/>
      <c r="L49" s="594"/>
      <c r="M49" s="594"/>
      <c r="N49" s="594"/>
      <c r="O49" s="594"/>
      <c r="P49" s="594"/>
      <c r="Q49" s="595"/>
      <c r="R49" s="593"/>
      <c r="S49" s="594"/>
      <c r="T49" s="594"/>
      <c r="U49" s="594"/>
      <c r="V49" s="594"/>
      <c r="W49" s="594"/>
      <c r="X49" s="594"/>
      <c r="Y49" s="594"/>
      <c r="Z49" s="594"/>
      <c r="AA49" s="594"/>
      <c r="AB49" s="594"/>
      <c r="AC49" s="594"/>
      <c r="AD49" s="594"/>
      <c r="AE49" s="595"/>
      <c r="AF49" s="593"/>
      <c r="AG49" s="594"/>
      <c r="AH49" s="594"/>
      <c r="AI49" s="594"/>
      <c r="AJ49" s="594"/>
      <c r="AK49" s="594"/>
      <c r="AL49" s="594"/>
      <c r="AM49" s="594"/>
      <c r="AN49" s="594"/>
      <c r="AO49" s="594"/>
      <c r="AP49" s="594"/>
      <c r="AQ49" s="594"/>
      <c r="AR49" s="594"/>
      <c r="AS49" s="595"/>
      <c r="AT49" s="593"/>
      <c r="AU49" s="594"/>
      <c r="AV49" s="594"/>
      <c r="AW49" s="594"/>
      <c r="AX49" s="594"/>
      <c r="AY49" s="594"/>
      <c r="AZ49" s="594"/>
      <c r="BA49" s="594"/>
      <c r="BB49" s="594"/>
      <c r="BC49" s="594"/>
      <c r="BD49" s="594"/>
      <c r="BE49" s="594"/>
      <c r="BF49" s="595"/>
      <c r="BG49" s="593"/>
      <c r="BH49" s="594"/>
      <c r="BI49" s="594"/>
      <c r="BJ49" s="594"/>
      <c r="BK49" s="594"/>
      <c r="BL49" s="594"/>
      <c r="BM49" s="594"/>
      <c r="BN49" s="594"/>
      <c r="BO49" s="594"/>
      <c r="BP49" s="594"/>
      <c r="BQ49" s="594"/>
      <c r="BR49" s="594"/>
      <c r="BS49" s="595"/>
    </row>
    <row r="50" spans="3:71" s="596" customFormat="1">
      <c r="C50" s="588" t="s">
        <v>346</v>
      </c>
      <c r="D50" s="588">
        <v>399</v>
      </c>
      <c r="E50" s="589">
        <v>405</v>
      </c>
      <c r="F50" s="589">
        <v>404</v>
      </c>
      <c r="G50" s="589">
        <v>406</v>
      </c>
      <c r="H50" s="589">
        <v>410</v>
      </c>
      <c r="I50" s="589">
        <v>405</v>
      </c>
      <c r="J50" s="589">
        <v>402</v>
      </c>
      <c r="K50" s="589">
        <v>400</v>
      </c>
      <c r="L50" s="589">
        <v>397</v>
      </c>
      <c r="M50" s="589">
        <v>404</v>
      </c>
      <c r="N50" s="589">
        <v>401</v>
      </c>
      <c r="O50" s="589">
        <v>399</v>
      </c>
      <c r="P50" s="589"/>
      <c r="Q50" s="579">
        <v>402.66666666666669</v>
      </c>
      <c r="R50" s="588">
        <v>405.2</v>
      </c>
      <c r="S50" s="589">
        <v>406.3</v>
      </c>
      <c r="T50" s="589">
        <v>408.7</v>
      </c>
      <c r="U50" s="589">
        <v>413</v>
      </c>
      <c r="V50" s="589">
        <v>409.8</v>
      </c>
      <c r="W50" s="589">
        <v>409</v>
      </c>
      <c r="X50" s="589">
        <v>410</v>
      </c>
      <c r="Y50" s="589">
        <v>407.3</v>
      </c>
      <c r="Z50" s="589">
        <v>406.7</v>
      </c>
      <c r="AA50" s="589">
        <v>406.4</v>
      </c>
      <c r="AB50" s="589">
        <v>407.7</v>
      </c>
      <c r="AC50" s="589">
        <v>416.3</v>
      </c>
      <c r="AD50" s="589"/>
      <c r="AE50" s="579">
        <v>408.86666666666673</v>
      </c>
      <c r="AF50" s="588">
        <v>412.9</v>
      </c>
      <c r="AG50" s="589">
        <v>414.5</v>
      </c>
      <c r="AH50" s="589">
        <v>411.7</v>
      </c>
      <c r="AI50" s="589">
        <v>405</v>
      </c>
      <c r="AJ50" s="589">
        <v>403.7</v>
      </c>
      <c r="AK50" s="589">
        <v>406.1</v>
      </c>
      <c r="AL50" s="589">
        <v>401.9</v>
      </c>
      <c r="AM50" s="589">
        <v>398.3</v>
      </c>
      <c r="AN50" s="589">
        <v>396.1</v>
      </c>
      <c r="AO50" s="589">
        <v>390.9</v>
      </c>
      <c r="AP50" s="589">
        <v>383.9</v>
      </c>
      <c r="AQ50" s="589">
        <v>386.2</v>
      </c>
      <c r="AR50" s="589"/>
      <c r="AS50" s="579">
        <v>402.82222222222214</v>
      </c>
      <c r="AT50" s="588">
        <v>461</v>
      </c>
      <c r="AU50" s="588">
        <v>456.6</v>
      </c>
      <c r="AV50" s="588">
        <v>456.2</v>
      </c>
      <c r="AW50" s="588">
        <v>450.7</v>
      </c>
      <c r="AX50" s="588">
        <v>451.5</v>
      </c>
      <c r="AY50" s="588">
        <v>452.8</v>
      </c>
      <c r="AZ50" s="588">
        <v>488.8</v>
      </c>
      <c r="BA50" s="588">
        <v>488.8</v>
      </c>
      <c r="BB50" s="588">
        <v>488.8</v>
      </c>
      <c r="BC50" s="588">
        <v>488.8</v>
      </c>
      <c r="BD50" s="588">
        <v>488.8</v>
      </c>
      <c r="BE50" s="588">
        <v>488.8</v>
      </c>
      <c r="BF50" s="579">
        <v>471.80000000000013</v>
      </c>
      <c r="BG50" s="588">
        <v>488.8</v>
      </c>
      <c r="BH50" s="588">
        <v>488.8</v>
      </c>
      <c r="BI50" s="588">
        <v>488.8</v>
      </c>
      <c r="BJ50" s="588">
        <v>488.8</v>
      </c>
      <c r="BK50" s="588">
        <v>488.8</v>
      </c>
      <c r="BL50" s="588">
        <v>488.8</v>
      </c>
      <c r="BM50" s="588">
        <v>488.8</v>
      </c>
      <c r="BN50" s="588">
        <v>488.8</v>
      </c>
      <c r="BO50" s="588">
        <v>488.8</v>
      </c>
      <c r="BP50" s="588">
        <v>488.8</v>
      </c>
      <c r="BQ50" s="588">
        <v>488.8</v>
      </c>
      <c r="BR50" s="588">
        <v>488.8</v>
      </c>
      <c r="BS50" s="579">
        <v>487.38333333333344</v>
      </c>
    </row>
    <row r="51" spans="3:71" s="596" customFormat="1">
      <c r="C51" s="588"/>
      <c r="D51" s="588"/>
      <c r="E51" s="589"/>
      <c r="F51" s="589"/>
      <c r="G51" s="589"/>
      <c r="H51" s="589"/>
      <c r="I51" s="589"/>
      <c r="J51" s="589"/>
      <c r="K51" s="589"/>
      <c r="L51" s="589"/>
      <c r="M51" s="589"/>
      <c r="N51" s="589"/>
      <c r="O51" s="589"/>
      <c r="P51" s="589"/>
      <c r="Q51" s="579"/>
      <c r="R51" s="588"/>
      <c r="S51" s="589"/>
      <c r="T51" s="589"/>
      <c r="U51" s="589"/>
      <c r="V51" s="589"/>
      <c r="W51" s="589"/>
      <c r="X51" s="589"/>
      <c r="Y51" s="589"/>
      <c r="Z51" s="589"/>
      <c r="AA51" s="589"/>
      <c r="AB51" s="589"/>
      <c r="AC51" s="589"/>
      <c r="AD51" s="589"/>
      <c r="AE51" s="579"/>
      <c r="AF51" s="588"/>
      <c r="AG51" s="589"/>
      <c r="AH51" s="589"/>
      <c r="AI51" s="589"/>
      <c r="AJ51" s="589"/>
      <c r="AK51" s="589"/>
      <c r="AL51" s="589"/>
      <c r="AM51" s="589"/>
      <c r="AN51" s="589"/>
      <c r="AO51" s="589"/>
      <c r="AP51" s="589"/>
      <c r="AQ51" s="589"/>
      <c r="AR51" s="589"/>
      <c r="AS51" s="579"/>
      <c r="AT51" s="588"/>
      <c r="AU51" s="589"/>
      <c r="AV51" s="589"/>
      <c r="AW51" s="589"/>
      <c r="AX51" s="589"/>
      <c r="AY51" s="589"/>
      <c r="AZ51" s="589"/>
      <c r="BA51" s="589"/>
      <c r="BB51" s="589"/>
      <c r="BC51" s="589"/>
      <c r="BD51" s="589"/>
      <c r="BE51" s="589"/>
      <c r="BF51" s="579"/>
      <c r="BG51" s="588"/>
      <c r="BH51" s="589"/>
      <c r="BI51" s="589"/>
      <c r="BJ51" s="589"/>
      <c r="BK51" s="589"/>
      <c r="BL51" s="589"/>
      <c r="BM51" s="589"/>
      <c r="BN51" s="589"/>
      <c r="BO51" s="589"/>
      <c r="BP51" s="589"/>
      <c r="BQ51" s="589"/>
      <c r="BR51" s="589"/>
      <c r="BS51" s="579"/>
    </row>
    <row r="52" spans="3:71" s="600" customFormat="1">
      <c r="C52" s="597" t="s">
        <v>347</v>
      </c>
      <c r="D52" s="598">
        <v>3850.4087468671682</v>
      </c>
      <c r="E52" s="598">
        <v>3755.889283950617</v>
      </c>
      <c r="F52" s="598">
        <v>3826.2313613861384</v>
      </c>
      <c r="G52" s="598">
        <v>3804.1771428571428</v>
      </c>
      <c r="H52" s="598">
        <v>3799.3985365853664</v>
      </c>
      <c r="I52" s="598">
        <v>3831.3495802469124</v>
      </c>
      <c r="J52" s="598">
        <v>3844.4308208955226</v>
      </c>
      <c r="K52" s="598">
        <v>3966.0548250000006</v>
      </c>
      <c r="L52" s="598">
        <v>3848.8997229219117</v>
      </c>
      <c r="M52" s="598">
        <v>3945.2708663366348</v>
      </c>
      <c r="N52" s="598">
        <v>3873.7724438902742</v>
      </c>
      <c r="O52" s="598">
        <v>3809.6451127819546</v>
      </c>
      <c r="P52" s="598"/>
      <c r="Q52" s="599">
        <v>45741.911423841055</v>
      </c>
      <c r="R52" s="598">
        <v>4144.511352418559</v>
      </c>
      <c r="S52" s="598">
        <v>4179.2370169825253</v>
      </c>
      <c r="T52" s="598">
        <v>4378.1991680939564</v>
      </c>
      <c r="U52" s="598">
        <v>4406.7312348668283</v>
      </c>
      <c r="V52" s="598">
        <v>4441.2030258662762</v>
      </c>
      <c r="W52" s="598">
        <v>4464.9511002444988</v>
      </c>
      <c r="X52" s="598">
        <v>4472.707317073171</v>
      </c>
      <c r="Y52" s="598">
        <v>4536.486619199607</v>
      </c>
      <c r="Z52" s="598">
        <v>4449.491505792972</v>
      </c>
      <c r="AA52" s="598">
        <v>4474.1756889763783</v>
      </c>
      <c r="AB52" s="598">
        <v>4488.6092715231789</v>
      </c>
      <c r="AC52" s="598">
        <v>4302.6351189046363</v>
      </c>
      <c r="AD52" s="598"/>
      <c r="AE52" s="599">
        <v>53834.81167454752</v>
      </c>
      <c r="AF52" s="598">
        <v>4157.5877936546385</v>
      </c>
      <c r="AG52" s="598">
        <v>4475.8021712907121</v>
      </c>
      <c r="AH52" s="598">
        <v>4489.0284187515181</v>
      </c>
      <c r="AI52" s="598">
        <v>4600.0763617580251</v>
      </c>
      <c r="AJ52" s="598">
        <v>4465.4945489224674</v>
      </c>
      <c r="AK52" s="598">
        <v>4471.231223836493</v>
      </c>
      <c r="AL52" s="598">
        <v>4499.1053752401158</v>
      </c>
      <c r="AM52" s="598">
        <v>4486.3745920160682</v>
      </c>
      <c r="AN52" s="598">
        <v>4505.8672052511993</v>
      </c>
      <c r="AO52" s="598">
        <v>4528.4953243284726</v>
      </c>
      <c r="AP52" s="598">
        <v>4591.9327949986982</v>
      </c>
      <c r="AQ52" s="598">
        <v>4578.820638819263</v>
      </c>
      <c r="AR52" s="598"/>
      <c r="AS52" s="599">
        <v>52021.40260385062</v>
      </c>
      <c r="AT52" s="598">
        <v>3619.891540130152</v>
      </c>
      <c r="AU52" s="598">
        <v>4462.8865527814278</v>
      </c>
      <c r="AV52" s="598">
        <v>5291.7273125822012</v>
      </c>
      <c r="AW52" s="598">
        <v>4698.1317949855784</v>
      </c>
      <c r="AX52" s="598">
        <v>4909.6323366555926</v>
      </c>
      <c r="AY52" s="598">
        <v>5063.9143473851573</v>
      </c>
      <c r="AZ52" s="598">
        <v>4533.9240942116749</v>
      </c>
      <c r="BA52" s="598">
        <v>4533.9240942116749</v>
      </c>
      <c r="BB52" s="598">
        <v>4533.9240942116749</v>
      </c>
      <c r="BC52" s="598">
        <v>4533.9240942116749</v>
      </c>
      <c r="BD52" s="598">
        <v>4533.9240942116749</v>
      </c>
      <c r="BE52" s="598">
        <v>4533.9240942116749</v>
      </c>
      <c r="BF52" s="599">
        <v>55203.030945315797</v>
      </c>
      <c r="BG52" s="598">
        <v>4304.4638229678121</v>
      </c>
      <c r="BH52" s="598">
        <v>4304.4638229678121</v>
      </c>
      <c r="BI52" s="598">
        <v>4304.4638229678121</v>
      </c>
      <c r="BJ52" s="598">
        <v>4304.4638229678121</v>
      </c>
      <c r="BK52" s="598">
        <v>4304.4638229678121</v>
      </c>
      <c r="BL52" s="598">
        <v>4304.4638229678121</v>
      </c>
      <c r="BM52" s="598">
        <v>4304.4638229678121</v>
      </c>
      <c r="BN52" s="598">
        <v>4304.4638229678121</v>
      </c>
      <c r="BO52" s="598">
        <v>4304.4638229678121</v>
      </c>
      <c r="BP52" s="598">
        <v>4304.4638229678121</v>
      </c>
      <c r="BQ52" s="598">
        <v>4304.4638229678121</v>
      </c>
      <c r="BR52" s="598">
        <v>4304.4638229678121</v>
      </c>
      <c r="BS52" s="599">
        <v>51803.706186095806</v>
      </c>
    </row>
    <row r="53" spans="3:71" s="600" customFormat="1" ht="16.8" thickBot="1">
      <c r="C53" s="601" t="s">
        <v>348</v>
      </c>
      <c r="D53" s="602">
        <v>4035.0915538847116</v>
      </c>
      <c r="E53" s="602">
        <v>3847.5742222222225</v>
      </c>
      <c r="F53" s="602">
        <v>4101.3912128712864</v>
      </c>
      <c r="G53" s="602">
        <v>4083.4436699507387</v>
      </c>
      <c r="H53" s="602">
        <v>3989.2499512195127</v>
      </c>
      <c r="I53" s="602">
        <v>3998.441308641974</v>
      </c>
      <c r="J53" s="602">
        <v>4076.1274875621889</v>
      </c>
      <c r="K53" s="602">
        <v>4403.6571749999985</v>
      </c>
      <c r="L53" s="602">
        <v>5917.8503022670011</v>
      </c>
      <c r="M53" s="602">
        <v>4159.1005940594068</v>
      </c>
      <c r="N53" s="602">
        <v>4744.3409725685788</v>
      </c>
      <c r="O53" s="602">
        <v>4810.6554636591472</v>
      </c>
      <c r="P53" s="602"/>
      <c r="Q53" s="603">
        <v>53254.2119205298</v>
      </c>
      <c r="R53" s="602">
        <v>4799.587857847976</v>
      </c>
      <c r="S53" s="602">
        <v>4445.2350479940933</v>
      </c>
      <c r="T53" s="602">
        <v>4209.7996085148034</v>
      </c>
      <c r="U53" s="602">
        <v>4504.3050847457625</v>
      </c>
      <c r="V53" s="602">
        <v>4645.1342118106395</v>
      </c>
      <c r="W53" s="602">
        <v>6309.6531260915117</v>
      </c>
      <c r="X53" s="602">
        <v>5052.9173867595819</v>
      </c>
      <c r="Y53" s="602">
        <v>5134.4417593209637</v>
      </c>
      <c r="Z53" s="602">
        <v>4677.4635025648995</v>
      </c>
      <c r="AA53" s="602">
        <v>5571.61467472816</v>
      </c>
      <c r="AB53" s="602">
        <v>4909.7674854292954</v>
      </c>
      <c r="AC53" s="602">
        <v>4647.5959735996248</v>
      </c>
      <c r="AD53" s="602"/>
      <c r="AE53" s="603">
        <v>59535.278819501051</v>
      </c>
      <c r="AF53" s="602">
        <v>4618.7212400096878</v>
      </c>
      <c r="AG53" s="602">
        <v>4659.2352231604345</v>
      </c>
      <c r="AH53" s="602">
        <v>4896.3031333495264</v>
      </c>
      <c r="AI53" s="602">
        <v>4673.9465799901236</v>
      </c>
      <c r="AJ53" s="602">
        <v>4539.8963324250681</v>
      </c>
      <c r="AK53" s="602">
        <v>4693.6862841664615</v>
      </c>
      <c r="AL53" s="602">
        <v>5021.4616827793043</v>
      </c>
      <c r="AM53" s="602">
        <v>4663.1985940246041</v>
      </c>
      <c r="AN53" s="602">
        <v>7759.6566523605143</v>
      </c>
      <c r="AO53" s="602">
        <v>5051.0260678536715</v>
      </c>
      <c r="AP53" s="602">
        <v>4827.4003646783021</v>
      </c>
      <c r="AQ53" s="602">
        <v>4689.4539974598638</v>
      </c>
      <c r="AR53" s="602"/>
      <c r="AS53" s="603">
        <v>60602.950019308228</v>
      </c>
      <c r="AT53" s="602">
        <v>3785.0433839479392</v>
      </c>
      <c r="AU53" s="602">
        <v>4989.4699956197983</v>
      </c>
      <c r="AV53" s="602">
        <v>5317.4682156948711</v>
      </c>
      <c r="AW53" s="602">
        <v>4857.0445972931002</v>
      </c>
      <c r="AX53" s="602">
        <v>5168.2613510520487</v>
      </c>
      <c r="AY53" s="602">
        <v>5219.1678146289742</v>
      </c>
      <c r="AZ53" s="602">
        <v>5672.4276505510088</v>
      </c>
      <c r="BA53" s="602">
        <v>5672.4276505510088</v>
      </c>
      <c r="BB53" s="602">
        <v>5672.4276505510088</v>
      </c>
      <c r="BC53" s="602">
        <v>5672.4276505510088</v>
      </c>
      <c r="BD53" s="602">
        <v>5672.4276505510088</v>
      </c>
      <c r="BE53" s="602">
        <v>5672.4276505510088</v>
      </c>
      <c r="BF53" s="603">
        <v>63524.376854599388</v>
      </c>
      <c r="BG53" s="602">
        <v>5121.5205605564643</v>
      </c>
      <c r="BH53" s="602">
        <v>5121.5205605564643</v>
      </c>
      <c r="BI53" s="602">
        <v>5121.5205605564643</v>
      </c>
      <c r="BJ53" s="602">
        <v>5121.5205605564643</v>
      </c>
      <c r="BK53" s="602">
        <v>5121.5205605564643</v>
      </c>
      <c r="BL53" s="602">
        <v>5121.5205605564643</v>
      </c>
      <c r="BM53" s="602">
        <v>5121.5205605564643</v>
      </c>
      <c r="BN53" s="602">
        <v>5121.5205605564643</v>
      </c>
      <c r="BO53" s="602">
        <v>5121.5205605564643</v>
      </c>
      <c r="BP53" s="602">
        <v>5121.5205605564643</v>
      </c>
      <c r="BQ53" s="602">
        <v>5121.5205605564643</v>
      </c>
      <c r="BR53" s="602">
        <v>5121.5205605564643</v>
      </c>
      <c r="BS53" s="603">
        <v>61636.88609239817</v>
      </c>
    </row>
    <row r="54" spans="3:71">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c r="AT54" s="604"/>
      <c r="AU54" s="604"/>
      <c r="AV54" s="604"/>
      <c r="AW54" s="604"/>
      <c r="AX54" s="604"/>
      <c r="AY54" s="604"/>
      <c r="AZ54" s="604"/>
      <c r="BA54" s="604"/>
      <c r="BB54" s="604"/>
      <c r="BC54" s="604"/>
      <c r="BD54" s="604"/>
      <c r="BE54" s="604"/>
      <c r="BF54" s="604"/>
      <c r="BG54" s="604"/>
      <c r="BH54" s="604"/>
      <c r="BI54" s="604"/>
      <c r="BJ54" s="604"/>
      <c r="BK54" s="604"/>
      <c r="BL54" s="604"/>
      <c r="BM54" s="604"/>
      <c r="BN54" s="604"/>
      <c r="BO54" s="604"/>
      <c r="BP54" s="604"/>
      <c r="BQ54" s="604"/>
      <c r="BR54" s="604"/>
      <c r="BS54" s="604"/>
    </row>
    <row r="55" spans="3:7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S55" s="381"/>
    </row>
    <row r="56" spans="3:71">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row>
    <row r="57" spans="3:71">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c r="BQ57" s="604"/>
      <c r="BR57" s="604"/>
      <c r="BS57" s="604"/>
    </row>
    <row r="58" spans="3:71">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77E0-DEBA-4EA4-8086-FE51F6723CB0}">
  <sheetPr>
    <tabColor theme="0"/>
  </sheetPr>
  <dimension ref="A1:BS62"/>
  <sheetViews>
    <sheetView zoomScale="56" zoomScaleNormal="56" workbookViewId="0">
      <pane xSplit="3" ySplit="7" topLeftCell="AX17" activePane="bottomRight" state="frozen"/>
      <selection activeCell="BB57" sqref="BB57"/>
      <selection pane="topRight" activeCell="BB57" sqref="BB57"/>
      <selection pane="bottomLeft" activeCell="BB57" sqref="BB57"/>
      <selection pane="bottomRight" activeCell="AZ42" activeCellId="2" sqref="AZ30:AZ33 AZ36 AZ42"/>
    </sheetView>
  </sheetViews>
  <sheetFormatPr defaultRowHeight="16.2"/>
  <cols>
    <col min="1" max="1" width="15.5546875" style="541" customWidth="1"/>
    <col min="2" max="2" width="18.6640625" style="541" customWidth="1"/>
    <col min="3" max="3" width="84.44140625" style="541" customWidth="1"/>
    <col min="4" max="15" width="22.6640625" style="542" customWidth="1"/>
    <col min="16" max="16" width="25.21875" style="542" bestFit="1" customWidth="1"/>
    <col min="17" max="17" width="24.44140625" style="541" customWidth="1"/>
    <col min="18" max="21" width="18.21875" style="542" bestFit="1" customWidth="1"/>
    <col min="22" max="22" width="18.88671875" style="542" bestFit="1" customWidth="1"/>
    <col min="23" max="23" width="19.88671875" style="542" bestFit="1" customWidth="1"/>
    <col min="24" max="26" width="18.21875" style="542" bestFit="1" customWidth="1"/>
    <col min="27" max="28" width="19.6640625" style="542" bestFit="1" customWidth="1"/>
    <col min="29" max="29" width="20.88671875" style="542" bestFit="1" customWidth="1"/>
    <col min="30" max="30" width="26.33203125" style="542" bestFit="1" customWidth="1"/>
    <col min="31" max="31" width="24.44140625" style="541" customWidth="1"/>
    <col min="32" max="34" width="18.21875" style="542" bestFit="1" customWidth="1"/>
    <col min="35" max="35" width="19.6640625" style="542" bestFit="1" customWidth="1"/>
    <col min="36" max="39" width="18.88671875" style="542" bestFit="1" customWidth="1"/>
    <col min="40" max="41" width="20.88671875" style="542" bestFit="1" customWidth="1"/>
    <col min="42" max="42" width="19.88671875" style="542" bestFit="1" customWidth="1"/>
    <col min="43" max="43" width="22.109375" style="542" bestFit="1" customWidth="1"/>
    <col min="44" max="44" width="25.21875" style="542" bestFit="1" customWidth="1"/>
    <col min="45" max="45" width="24.44140625" style="541" customWidth="1"/>
    <col min="46" max="57" width="22.6640625" style="542" customWidth="1"/>
    <col min="58" max="58" width="24.44140625" style="541" customWidth="1"/>
    <col min="59" max="59" width="18.88671875" style="542" bestFit="1" customWidth="1"/>
    <col min="60" max="62" width="18.21875" style="542" bestFit="1" customWidth="1"/>
    <col min="63" max="63" width="18.88671875" style="542" bestFit="1" customWidth="1"/>
    <col min="64" max="67" width="18.21875" style="542" bestFit="1" customWidth="1"/>
    <col min="68" max="69" width="19.6640625" style="542" bestFit="1" customWidth="1"/>
    <col min="70" max="70" width="20.88671875" style="542" bestFit="1" customWidth="1"/>
    <col min="71" max="71" width="24.44140625" style="541" customWidth="1"/>
    <col min="72" max="16384" width="8.88671875" style="542"/>
  </cols>
  <sheetData>
    <row r="1" spans="1:71">
      <c r="A1" s="541" t="s">
        <v>305</v>
      </c>
    </row>
    <row r="2" spans="1:71">
      <c r="A2" s="541" t="s">
        <v>306</v>
      </c>
    </row>
    <row r="3" spans="1:71">
      <c r="A3" s="541" t="s">
        <v>569</v>
      </c>
      <c r="D3" s="543"/>
      <c r="E3" s="543"/>
      <c r="F3" s="543"/>
      <c r="G3" s="543"/>
      <c r="H3" s="543"/>
      <c r="I3" s="543"/>
      <c r="J3" s="543"/>
      <c r="K3" s="543"/>
      <c r="L3" s="543"/>
      <c r="M3" s="543"/>
      <c r="N3" s="543"/>
      <c r="O3" s="605"/>
      <c r="P3" s="605"/>
      <c r="Q3" s="605"/>
      <c r="R3" s="543"/>
      <c r="S3" s="543"/>
      <c r="T3" s="543"/>
      <c r="U3" s="543"/>
      <c r="V3" s="543"/>
      <c r="W3" s="543"/>
      <c r="X3" s="543"/>
      <c r="Y3" s="543"/>
      <c r="Z3" s="543"/>
      <c r="AA3" s="543"/>
      <c r="AB3" s="543"/>
      <c r="AC3" s="605"/>
      <c r="AD3" s="605"/>
      <c r="AE3" s="605"/>
      <c r="AF3" s="543"/>
      <c r="AG3" s="543"/>
      <c r="AH3" s="543"/>
      <c r="AI3" s="543"/>
      <c r="AJ3" s="543"/>
      <c r="AK3" s="543"/>
      <c r="AL3" s="543"/>
      <c r="AM3" s="543"/>
      <c r="AN3" s="543"/>
      <c r="AO3" s="543"/>
      <c r="AP3" s="543"/>
      <c r="AQ3" s="605"/>
      <c r="AR3" s="605"/>
      <c r="AS3" s="605"/>
      <c r="AT3" s="543"/>
      <c r="AU3" s="543"/>
      <c r="AV3" s="543"/>
      <c r="AW3" s="543"/>
      <c r="AX3" s="543"/>
      <c r="AY3" s="543"/>
      <c r="AZ3" s="543"/>
      <c r="BA3" s="543"/>
      <c r="BB3" s="543"/>
      <c r="BC3" s="543"/>
      <c r="BD3" s="543"/>
      <c r="BE3" s="605"/>
      <c r="BF3" s="605"/>
      <c r="BG3" s="543"/>
      <c r="BH3" s="543"/>
      <c r="BI3" s="543"/>
      <c r="BJ3" s="543"/>
      <c r="BK3" s="543"/>
      <c r="BL3" s="543"/>
      <c r="BM3" s="543"/>
      <c r="BN3" s="543"/>
      <c r="BO3" s="543"/>
      <c r="BP3" s="543"/>
      <c r="BQ3" s="543"/>
      <c r="BR3" s="605"/>
      <c r="BS3" s="605"/>
    </row>
    <row r="4" spans="1:71">
      <c r="A4" s="541" t="s">
        <v>650</v>
      </c>
      <c r="D4" s="545"/>
      <c r="E4" s="543"/>
      <c r="F4" s="543"/>
      <c r="G4" s="543"/>
      <c r="H4" s="543"/>
      <c r="I4" s="543"/>
      <c r="J4" s="543"/>
      <c r="K4" s="543"/>
      <c r="L4" s="543"/>
      <c r="M4" s="543"/>
      <c r="N4" s="543"/>
      <c r="O4" s="543"/>
      <c r="P4" s="543"/>
      <c r="Q4" s="546"/>
      <c r="R4" s="545"/>
      <c r="S4" s="543"/>
      <c r="T4" s="543"/>
      <c r="U4" s="543"/>
      <c r="V4" s="543"/>
      <c r="W4" s="543"/>
      <c r="X4" s="543"/>
      <c r="Y4" s="543"/>
      <c r="Z4" s="543"/>
      <c r="AA4" s="543"/>
      <c r="AB4" s="543"/>
      <c r="AC4" s="543"/>
      <c r="AD4" s="543"/>
      <c r="AE4" s="546"/>
      <c r="AF4" s="545"/>
      <c r="AG4" s="543"/>
      <c r="AH4" s="543"/>
      <c r="AI4" s="543"/>
      <c r="AJ4" s="543"/>
      <c r="AK4" s="543"/>
      <c r="AL4" s="543"/>
      <c r="AM4" s="543"/>
      <c r="AN4" s="543"/>
      <c r="AO4" s="543"/>
      <c r="AP4" s="543"/>
      <c r="AQ4" s="543"/>
      <c r="AR4" s="543"/>
      <c r="AS4" s="546"/>
      <c r="AT4" s="545"/>
      <c r="AU4" s="543"/>
      <c r="AV4" s="543"/>
      <c r="AW4" s="543"/>
      <c r="AX4" s="543"/>
      <c r="AY4" s="543"/>
      <c r="AZ4" s="543"/>
      <c r="BA4" s="543"/>
      <c r="BB4" s="543"/>
      <c r="BC4" s="543"/>
      <c r="BD4" s="543"/>
      <c r="BE4" s="543"/>
      <c r="BF4" s="546"/>
      <c r="BG4" s="545"/>
      <c r="BH4" s="543"/>
      <c r="BI4" s="543"/>
      <c r="BJ4" s="543"/>
      <c r="BK4" s="543"/>
      <c r="BL4" s="543"/>
      <c r="BM4" s="543"/>
      <c r="BN4" s="543"/>
      <c r="BO4" s="543"/>
      <c r="BP4" s="543"/>
      <c r="BQ4" s="543"/>
      <c r="BR4" s="543"/>
      <c r="BS4" s="546"/>
    </row>
    <row r="5" spans="1:71" ht="16.8" thickBot="1">
      <c r="A5" s="541" t="s">
        <v>651</v>
      </c>
      <c r="D5" s="543"/>
      <c r="E5" s="543"/>
      <c r="F5" s="543"/>
      <c r="G5" s="543"/>
      <c r="H5" s="543"/>
      <c r="I5" s="543"/>
      <c r="J5" s="543"/>
      <c r="K5" s="543"/>
      <c r="L5" s="543"/>
      <c r="M5" s="543"/>
      <c r="N5" s="543"/>
      <c r="O5" s="543"/>
      <c r="P5" s="543"/>
      <c r="Q5" s="546"/>
      <c r="R5" s="543"/>
      <c r="S5" s="543"/>
      <c r="T5" s="543"/>
      <c r="U5" s="543"/>
      <c r="V5" s="543"/>
      <c r="W5" s="543"/>
      <c r="X5" s="543"/>
      <c r="Y5" s="543"/>
      <c r="Z5" s="543"/>
      <c r="AA5" s="543"/>
      <c r="AB5" s="543"/>
      <c r="AC5" s="543"/>
      <c r="AD5" s="543"/>
      <c r="AE5" s="546"/>
      <c r="AF5" s="543"/>
      <c r="AG5" s="543"/>
      <c r="AH5" s="543"/>
      <c r="AI5" s="543"/>
      <c r="AJ5" s="543"/>
      <c r="AK5" s="543"/>
      <c r="AL5" s="543"/>
      <c r="AM5" s="543"/>
      <c r="AN5" s="543"/>
      <c r="AO5" s="543"/>
      <c r="AP5" s="543"/>
      <c r="AQ5" s="543"/>
      <c r="AR5" s="543"/>
      <c r="AS5" s="546"/>
      <c r="AT5" s="543"/>
      <c r="AU5" s="543"/>
      <c r="AV5" s="543"/>
      <c r="AW5" s="543"/>
      <c r="AX5" s="543"/>
      <c r="AY5" s="543"/>
      <c r="AZ5" s="543"/>
      <c r="BA5" s="543"/>
      <c r="BB5" s="543"/>
      <c r="BC5" s="543"/>
      <c r="BD5" s="543"/>
      <c r="BE5" s="543"/>
      <c r="BF5" s="546"/>
      <c r="BG5" s="543"/>
      <c r="BH5" s="543"/>
      <c r="BI5" s="543"/>
      <c r="BJ5" s="543"/>
      <c r="BK5" s="543"/>
      <c r="BL5" s="543"/>
      <c r="BM5" s="543"/>
      <c r="BN5" s="543"/>
      <c r="BO5" s="543"/>
      <c r="BP5" s="543"/>
      <c r="BQ5" s="543"/>
      <c r="BR5" s="543"/>
      <c r="BS5" s="546"/>
    </row>
    <row r="6" spans="1:71" s="541" customFormat="1" ht="16.8" thickBot="1">
      <c r="D6" s="547" t="s">
        <v>307</v>
      </c>
      <c r="E6" s="548"/>
      <c r="F6" s="548"/>
      <c r="G6" s="548"/>
      <c r="H6" s="548"/>
      <c r="I6" s="548"/>
      <c r="J6" s="548"/>
      <c r="K6" s="548"/>
      <c r="L6" s="548"/>
      <c r="M6" s="548"/>
      <c r="N6" s="548"/>
      <c r="O6" s="548"/>
      <c r="P6" s="548"/>
      <c r="Q6" s="549"/>
      <c r="R6" s="547" t="s">
        <v>385</v>
      </c>
      <c r="S6" s="548"/>
      <c r="T6" s="548"/>
      <c r="U6" s="548"/>
      <c r="V6" s="548"/>
      <c r="W6" s="548"/>
      <c r="X6" s="548"/>
      <c r="Y6" s="548"/>
      <c r="Z6" s="548"/>
      <c r="AA6" s="548"/>
      <c r="AB6" s="548"/>
      <c r="AC6" s="548"/>
      <c r="AD6" s="548"/>
      <c r="AE6" s="549"/>
      <c r="AF6" s="547" t="s">
        <v>390</v>
      </c>
      <c r="AG6" s="548"/>
      <c r="AH6" s="548"/>
      <c r="AI6" s="548"/>
      <c r="AJ6" s="548"/>
      <c r="AK6" s="548"/>
      <c r="AL6" s="548"/>
      <c r="AM6" s="548"/>
      <c r="AN6" s="548"/>
      <c r="AO6" s="548"/>
      <c r="AP6" s="548"/>
      <c r="AQ6" s="548"/>
      <c r="AR6" s="548"/>
      <c r="AS6" s="549"/>
      <c r="AT6" s="547" t="s">
        <v>559</v>
      </c>
      <c r="AU6" s="548"/>
      <c r="AV6" s="548"/>
      <c r="AW6" s="548"/>
      <c r="AX6" s="548"/>
      <c r="AY6" s="548"/>
      <c r="AZ6" s="548"/>
      <c r="BA6" s="548"/>
      <c r="BB6" s="548"/>
      <c r="BC6" s="548"/>
      <c r="BD6" s="548"/>
      <c r="BE6" s="548"/>
      <c r="BF6" s="549"/>
      <c r="BG6" s="547" t="s">
        <v>560</v>
      </c>
      <c r="BH6" s="548"/>
      <c r="BI6" s="548"/>
      <c r="BJ6" s="548"/>
      <c r="BK6" s="548"/>
      <c r="BL6" s="548"/>
      <c r="BM6" s="548"/>
      <c r="BN6" s="548"/>
      <c r="BO6" s="548"/>
      <c r="BP6" s="548"/>
      <c r="BQ6" s="548"/>
      <c r="BR6" s="548"/>
      <c r="BS6" s="549"/>
    </row>
    <row r="7" spans="1:71" s="541" customFormat="1">
      <c r="B7" s="551" t="s">
        <v>308</v>
      </c>
      <c r="C7" s="552" t="s">
        <v>309</v>
      </c>
      <c r="D7" s="553" t="s">
        <v>310</v>
      </c>
      <c r="E7" s="554" t="s">
        <v>311</v>
      </c>
      <c r="F7" s="554" t="s">
        <v>312</v>
      </c>
      <c r="G7" s="554" t="s">
        <v>313</v>
      </c>
      <c r="H7" s="554" t="s">
        <v>314</v>
      </c>
      <c r="I7" s="554" t="s">
        <v>315</v>
      </c>
      <c r="J7" s="554" t="s">
        <v>316</v>
      </c>
      <c r="K7" s="554" t="s">
        <v>317</v>
      </c>
      <c r="L7" s="554" t="s">
        <v>318</v>
      </c>
      <c r="M7" s="554" t="s">
        <v>319</v>
      </c>
      <c r="N7" s="554" t="s">
        <v>320</v>
      </c>
      <c r="O7" s="554" t="s">
        <v>321</v>
      </c>
      <c r="P7" s="554" t="s">
        <v>373</v>
      </c>
      <c r="Q7" s="555" t="s">
        <v>322</v>
      </c>
      <c r="R7" s="553" t="s">
        <v>310</v>
      </c>
      <c r="S7" s="554" t="s">
        <v>311</v>
      </c>
      <c r="T7" s="554" t="s">
        <v>312</v>
      </c>
      <c r="U7" s="554" t="s">
        <v>313</v>
      </c>
      <c r="V7" s="554" t="s">
        <v>314</v>
      </c>
      <c r="W7" s="554" t="s">
        <v>315</v>
      </c>
      <c r="X7" s="554" t="s">
        <v>316</v>
      </c>
      <c r="Y7" s="554" t="s">
        <v>317</v>
      </c>
      <c r="Z7" s="554" t="s">
        <v>318</v>
      </c>
      <c r="AA7" s="554" t="s">
        <v>319</v>
      </c>
      <c r="AB7" s="554" t="s">
        <v>320</v>
      </c>
      <c r="AC7" s="554" t="s">
        <v>321</v>
      </c>
      <c r="AD7" s="554" t="s">
        <v>456</v>
      </c>
      <c r="AE7" s="555" t="s">
        <v>384</v>
      </c>
      <c r="AF7" s="553" t="s">
        <v>310</v>
      </c>
      <c r="AG7" s="554" t="s">
        <v>311</v>
      </c>
      <c r="AH7" s="554" t="s">
        <v>312</v>
      </c>
      <c r="AI7" s="554" t="s">
        <v>313</v>
      </c>
      <c r="AJ7" s="554" t="s">
        <v>314</v>
      </c>
      <c r="AK7" s="554" t="s">
        <v>315</v>
      </c>
      <c r="AL7" s="554" t="s">
        <v>316</v>
      </c>
      <c r="AM7" s="554" t="s">
        <v>317</v>
      </c>
      <c r="AN7" s="554" t="s">
        <v>318</v>
      </c>
      <c r="AO7" s="554" t="s">
        <v>319</v>
      </c>
      <c r="AP7" s="554" t="s">
        <v>320</v>
      </c>
      <c r="AQ7" s="554" t="s">
        <v>321</v>
      </c>
      <c r="AR7" s="554" t="s">
        <v>493</v>
      </c>
      <c r="AS7" s="555" t="s">
        <v>391</v>
      </c>
      <c r="AT7" s="553" t="s">
        <v>310</v>
      </c>
      <c r="AU7" s="554" t="s">
        <v>311</v>
      </c>
      <c r="AV7" s="554" t="s">
        <v>312</v>
      </c>
      <c r="AW7" s="554" t="s">
        <v>313</v>
      </c>
      <c r="AX7" s="554" t="s">
        <v>314</v>
      </c>
      <c r="AY7" s="554" t="s">
        <v>315</v>
      </c>
      <c r="AZ7" s="554" t="s">
        <v>316</v>
      </c>
      <c r="BA7" s="554" t="s">
        <v>317</v>
      </c>
      <c r="BB7" s="554" t="s">
        <v>318</v>
      </c>
      <c r="BC7" s="554" t="s">
        <v>319</v>
      </c>
      <c r="BD7" s="554" t="s">
        <v>320</v>
      </c>
      <c r="BE7" s="554" t="s">
        <v>321</v>
      </c>
      <c r="BF7" s="555" t="s">
        <v>561</v>
      </c>
      <c r="BG7" s="553" t="s">
        <v>310</v>
      </c>
      <c r="BH7" s="554" t="s">
        <v>311</v>
      </c>
      <c r="BI7" s="554" t="s">
        <v>312</v>
      </c>
      <c r="BJ7" s="554" t="s">
        <v>313</v>
      </c>
      <c r="BK7" s="554" t="s">
        <v>314</v>
      </c>
      <c r="BL7" s="554" t="s">
        <v>315</v>
      </c>
      <c r="BM7" s="554" t="s">
        <v>316</v>
      </c>
      <c r="BN7" s="554" t="s">
        <v>317</v>
      </c>
      <c r="BO7" s="554" t="s">
        <v>318</v>
      </c>
      <c r="BP7" s="554" t="s">
        <v>319</v>
      </c>
      <c r="BQ7" s="554" t="s">
        <v>320</v>
      </c>
      <c r="BR7" s="554" t="s">
        <v>321</v>
      </c>
      <c r="BS7" s="555" t="s">
        <v>562</v>
      </c>
    </row>
    <row r="8" spans="1:71">
      <c r="A8" s="556"/>
      <c r="B8" s="541" t="s">
        <v>323</v>
      </c>
      <c r="C8" s="558" t="s">
        <v>239</v>
      </c>
      <c r="D8" s="559">
        <v>40582237.074123427</v>
      </c>
      <c r="E8" s="560">
        <v>42436997.091877103</v>
      </c>
      <c r="F8" s="560">
        <v>42938428</v>
      </c>
      <c r="G8" s="560">
        <v>43083671</v>
      </c>
      <c r="H8" s="560">
        <v>42546166</v>
      </c>
      <c r="I8" s="560">
        <v>42649746</v>
      </c>
      <c r="J8" s="560">
        <v>42884290</v>
      </c>
      <c r="K8" s="560">
        <v>43091810</v>
      </c>
      <c r="L8" s="560">
        <v>43624029</v>
      </c>
      <c r="M8" s="560">
        <v>43801942.298371986</v>
      </c>
      <c r="N8" s="560">
        <v>43529617</v>
      </c>
      <c r="O8" s="560">
        <v>43170903.36060074</v>
      </c>
      <c r="P8" s="560">
        <f t="shared" ref="P8:P21" si="0">Q8-(D8+E8+F8+G8+H8+I8+J8+K8+L8+M8+N8+O8)</f>
        <v>112815969.15151334</v>
      </c>
      <c r="Q8" s="561">
        <v>627155805.97648656</v>
      </c>
      <c r="R8" s="559">
        <v>41637303</v>
      </c>
      <c r="S8" s="560">
        <v>43617912</v>
      </c>
      <c r="T8" s="560">
        <v>44448962</v>
      </c>
      <c r="U8" s="560">
        <v>44316876</v>
      </c>
      <c r="V8" s="560">
        <v>43717922</v>
      </c>
      <c r="W8" s="560">
        <v>43920676</v>
      </c>
      <c r="X8" s="560">
        <v>43565656</v>
      </c>
      <c r="Y8" s="560">
        <v>43999905</v>
      </c>
      <c r="Z8" s="560">
        <v>43658036.665152155</v>
      </c>
      <c r="AA8" s="560">
        <v>43480766</v>
      </c>
      <c r="AB8" s="560">
        <v>43826634</v>
      </c>
      <c r="AC8" s="560">
        <v>41513569</v>
      </c>
      <c r="AD8" s="560">
        <f t="shared" ref="AD8:AD20" si="1">AE8-(R8+S8+T8+U8+V8+W8+X8+Y8+Z8+AA8+AB8+AC8)</f>
        <v>45218488.334847867</v>
      </c>
      <c r="AE8" s="561">
        <v>566922706</v>
      </c>
      <c r="AF8" s="559">
        <v>42159043</v>
      </c>
      <c r="AG8" s="560">
        <v>44504438</v>
      </c>
      <c r="AH8" s="560">
        <v>45309741</v>
      </c>
      <c r="AI8" s="560">
        <v>56527320</v>
      </c>
      <c r="AJ8" s="560">
        <v>42789778</v>
      </c>
      <c r="AK8" s="560">
        <v>43187285</v>
      </c>
      <c r="AL8" s="560">
        <v>43711749.223817036</v>
      </c>
      <c r="AM8" s="560">
        <v>45077923</v>
      </c>
      <c r="AN8" s="560">
        <v>45892645.190200105</v>
      </c>
      <c r="AO8" s="560">
        <v>47190851</v>
      </c>
      <c r="AP8" s="560">
        <v>47695248</v>
      </c>
      <c r="AQ8" s="560">
        <v>48303514.067564972</v>
      </c>
      <c r="AR8" s="560">
        <f t="shared" ref="AR8:AR19" si="2">AS8-(AF8+AG8+AH8+AI8+AJ8+AK8+AL8+AM8+AN8+AO8+AP8+AQ8)</f>
        <v>-8836698.4815821648</v>
      </c>
      <c r="AS8" s="561">
        <v>543512837</v>
      </c>
      <c r="AT8" s="559">
        <v>41947155</v>
      </c>
      <c r="AU8" s="560">
        <v>46728063</v>
      </c>
      <c r="AV8" s="560">
        <v>46690348</v>
      </c>
      <c r="AW8" s="560">
        <v>46356231.583049938</v>
      </c>
      <c r="AX8" s="560">
        <v>46457015</v>
      </c>
      <c r="AY8" s="560">
        <v>45676432.454659984</v>
      </c>
      <c r="AZ8" s="560">
        <f>(BF8-AT8-AU8-AV8-AW8-AX8-AY8)/6</f>
        <v>45035908.993715011</v>
      </c>
      <c r="BA8" s="560">
        <f t="shared" ref="BA8:BE21" si="3">AZ8</f>
        <v>45035908.993715011</v>
      </c>
      <c r="BB8" s="560">
        <f t="shared" si="3"/>
        <v>45035908.993715011</v>
      </c>
      <c r="BC8" s="560">
        <f t="shared" si="3"/>
        <v>45035908.993715011</v>
      </c>
      <c r="BD8" s="560">
        <f t="shared" si="3"/>
        <v>45035908.993715011</v>
      </c>
      <c r="BE8" s="560">
        <f t="shared" si="3"/>
        <v>45035908.993715011</v>
      </c>
      <c r="BF8" s="561">
        <v>544070699</v>
      </c>
      <c r="BG8" s="559">
        <f>BS8/12</f>
        <v>46867599.916666664</v>
      </c>
      <c r="BH8" s="560">
        <f>BG8</f>
        <v>46867599.916666664</v>
      </c>
      <c r="BI8" s="560">
        <f t="shared" ref="BI8:BR8" si="4">BH8</f>
        <v>46867599.916666664</v>
      </c>
      <c r="BJ8" s="560">
        <f t="shared" si="4"/>
        <v>46867599.916666664</v>
      </c>
      <c r="BK8" s="560">
        <f t="shared" si="4"/>
        <v>46867599.916666664</v>
      </c>
      <c r="BL8" s="560">
        <f t="shared" si="4"/>
        <v>46867599.916666664</v>
      </c>
      <c r="BM8" s="560">
        <f t="shared" si="4"/>
        <v>46867599.916666664</v>
      </c>
      <c r="BN8" s="560">
        <f t="shared" si="4"/>
        <v>46867599.916666664</v>
      </c>
      <c r="BO8" s="560">
        <f t="shared" si="4"/>
        <v>46867599.916666664</v>
      </c>
      <c r="BP8" s="560">
        <f t="shared" si="4"/>
        <v>46867599.916666664</v>
      </c>
      <c r="BQ8" s="560">
        <f t="shared" si="4"/>
        <v>46867599.916666664</v>
      </c>
      <c r="BR8" s="560">
        <f t="shared" si="4"/>
        <v>46867599.916666664</v>
      </c>
      <c r="BS8" s="561">
        <v>562411199</v>
      </c>
    </row>
    <row r="9" spans="1:71">
      <c r="A9" s="556"/>
      <c r="B9" s="541" t="s">
        <v>324</v>
      </c>
      <c r="C9" s="558" t="s">
        <v>240</v>
      </c>
      <c r="D9" s="559">
        <v>854200.57756613975</v>
      </c>
      <c r="E9" s="560">
        <v>856833.02</v>
      </c>
      <c r="F9" s="560">
        <v>838109</v>
      </c>
      <c r="G9" s="560">
        <v>1247525</v>
      </c>
      <c r="H9" s="560">
        <v>1290471</v>
      </c>
      <c r="I9" s="560">
        <v>1396022</v>
      </c>
      <c r="J9" s="560">
        <v>1420828</v>
      </c>
      <c r="K9" s="560">
        <v>1468046</v>
      </c>
      <c r="L9" s="560">
        <v>2930171</v>
      </c>
      <c r="M9" s="560">
        <v>1460392.205938</v>
      </c>
      <c r="N9" s="560">
        <v>1675593</v>
      </c>
      <c r="O9" s="560">
        <v>1557005.1490983795</v>
      </c>
      <c r="P9" s="560">
        <f t="shared" si="0"/>
        <v>-2131826.2400823198</v>
      </c>
      <c r="Q9" s="561">
        <v>14863369.712520201</v>
      </c>
      <c r="R9" s="559">
        <v>881355</v>
      </c>
      <c r="S9" s="560">
        <v>1121471</v>
      </c>
      <c r="T9" s="560">
        <v>1301315</v>
      </c>
      <c r="U9" s="560">
        <v>1270785</v>
      </c>
      <c r="V9" s="560">
        <v>1237328</v>
      </c>
      <c r="W9" s="560">
        <v>1571734</v>
      </c>
      <c r="X9" s="560">
        <v>1452016</v>
      </c>
      <c r="Y9" s="560">
        <v>2771967</v>
      </c>
      <c r="Z9" s="560">
        <v>4361099.7986560054</v>
      </c>
      <c r="AA9" s="560">
        <v>1365046</v>
      </c>
      <c r="AB9" s="560">
        <v>1691127</v>
      </c>
      <c r="AC9" s="560">
        <v>875016.01000000106</v>
      </c>
      <c r="AD9" s="560">
        <f t="shared" si="1"/>
        <v>-2378235.8086560071</v>
      </c>
      <c r="AE9" s="561">
        <v>17522024</v>
      </c>
      <c r="AF9" s="559">
        <v>894022</v>
      </c>
      <c r="AG9" s="560">
        <v>1210872</v>
      </c>
      <c r="AH9" s="560">
        <v>1368651</v>
      </c>
      <c r="AI9" s="560">
        <v>1437115</v>
      </c>
      <c r="AJ9" s="560">
        <v>1403603</v>
      </c>
      <c r="AK9" s="560">
        <v>1441153</v>
      </c>
      <c r="AL9" s="560">
        <v>1472524.6634559969</v>
      </c>
      <c r="AM9" s="560">
        <v>1525273</v>
      </c>
      <c r="AN9" s="560">
        <v>1722428.8733200012</v>
      </c>
      <c r="AO9" s="560">
        <v>1682750</v>
      </c>
      <c r="AP9" s="560">
        <v>1654860</v>
      </c>
      <c r="AQ9" s="560">
        <v>2256674.7992019979</v>
      </c>
      <c r="AR9" s="560">
        <f t="shared" si="2"/>
        <v>-1478980.3359779976</v>
      </c>
      <c r="AS9" s="561">
        <v>16590947</v>
      </c>
      <c r="AT9" s="559">
        <v>868168</v>
      </c>
      <c r="AU9" s="560">
        <v>1214183</v>
      </c>
      <c r="AV9" s="560">
        <v>1561497</v>
      </c>
      <c r="AW9" s="560">
        <v>1460707.5626049978</v>
      </c>
      <c r="AX9" s="560">
        <v>1398861</v>
      </c>
      <c r="AY9" s="560">
        <v>1532991.9346799999</v>
      </c>
      <c r="AZ9" s="560">
        <f t="shared" ref="AZ9:AZ21" si="5">(BF9-AT9-AU9-AV9-AW9-AX9-AY9)/6</f>
        <v>292694.9171191671</v>
      </c>
      <c r="BA9" s="560">
        <f t="shared" si="3"/>
        <v>292694.9171191671</v>
      </c>
      <c r="BB9" s="560">
        <f t="shared" si="3"/>
        <v>292694.9171191671</v>
      </c>
      <c r="BC9" s="560">
        <f t="shared" si="3"/>
        <v>292694.9171191671</v>
      </c>
      <c r="BD9" s="560">
        <f t="shared" si="3"/>
        <v>292694.9171191671</v>
      </c>
      <c r="BE9" s="560">
        <f t="shared" si="3"/>
        <v>292694.9171191671</v>
      </c>
      <c r="BF9" s="561">
        <v>9792578</v>
      </c>
      <c r="BG9" s="559">
        <f t="shared" ref="BG9:BG20" si="6">BS9/12</f>
        <v>1443621.8333333333</v>
      </c>
      <c r="BH9" s="560">
        <f t="shared" ref="BH9:BR21" si="7">BG9</f>
        <v>1443621.8333333333</v>
      </c>
      <c r="BI9" s="560">
        <f t="shared" si="7"/>
        <v>1443621.8333333333</v>
      </c>
      <c r="BJ9" s="560">
        <f t="shared" si="7"/>
        <v>1443621.8333333333</v>
      </c>
      <c r="BK9" s="560">
        <f t="shared" si="7"/>
        <v>1443621.8333333333</v>
      </c>
      <c r="BL9" s="560">
        <f t="shared" si="7"/>
        <v>1443621.8333333333</v>
      </c>
      <c r="BM9" s="560">
        <f t="shared" si="7"/>
        <v>1443621.8333333333</v>
      </c>
      <c r="BN9" s="560">
        <f t="shared" si="7"/>
        <v>1443621.8333333333</v>
      </c>
      <c r="BO9" s="560">
        <f t="shared" si="7"/>
        <v>1443621.8333333333</v>
      </c>
      <c r="BP9" s="560">
        <f t="shared" si="7"/>
        <v>1443621.8333333333</v>
      </c>
      <c r="BQ9" s="560">
        <f t="shared" si="7"/>
        <v>1443621.8333333333</v>
      </c>
      <c r="BR9" s="560">
        <f t="shared" si="7"/>
        <v>1443621.8333333333</v>
      </c>
      <c r="BS9" s="561">
        <v>17323462</v>
      </c>
    </row>
    <row r="10" spans="1:71">
      <c r="A10" s="556"/>
      <c r="B10" s="541" t="s">
        <v>325</v>
      </c>
      <c r="C10" s="558" t="s">
        <v>241</v>
      </c>
      <c r="D10" s="559">
        <v>0</v>
      </c>
      <c r="E10" s="560">
        <v>999143</v>
      </c>
      <c r="F10" s="560">
        <v>296892</v>
      </c>
      <c r="G10" s="560">
        <v>726998</v>
      </c>
      <c r="H10" s="560">
        <v>346912</v>
      </c>
      <c r="I10" s="560">
        <v>402136</v>
      </c>
      <c r="J10" s="560">
        <v>1655006</v>
      </c>
      <c r="K10" s="560">
        <v>855143</v>
      </c>
      <c r="L10" s="560">
        <v>456922</v>
      </c>
      <c r="M10" s="560">
        <v>1171647.56</v>
      </c>
      <c r="N10" s="560">
        <v>749251</v>
      </c>
      <c r="O10" s="560">
        <v>-503112.47328665963</v>
      </c>
      <c r="P10" s="560">
        <f t="shared" si="0"/>
        <v>5254170.4589600647</v>
      </c>
      <c r="Q10" s="561">
        <v>12411108.545673406</v>
      </c>
      <c r="R10" s="559">
        <v>0</v>
      </c>
      <c r="S10" s="560">
        <v>3922</v>
      </c>
      <c r="T10" s="560">
        <v>917419</v>
      </c>
      <c r="U10" s="560">
        <v>449999</v>
      </c>
      <c r="V10" s="560">
        <v>502408</v>
      </c>
      <c r="W10" s="560">
        <v>5091</v>
      </c>
      <c r="X10" s="560">
        <v>445510</v>
      </c>
      <c r="Y10" s="560">
        <v>538064</v>
      </c>
      <c r="Z10" s="560">
        <v>873036.55999999994</v>
      </c>
      <c r="AA10" s="560">
        <v>496469</v>
      </c>
      <c r="AB10" s="560">
        <v>123966</v>
      </c>
      <c r="AC10" s="560">
        <v>741308.29999999981</v>
      </c>
      <c r="AD10" s="560">
        <f t="shared" si="1"/>
        <v>6042346.1399999997</v>
      </c>
      <c r="AE10" s="561">
        <v>11139539</v>
      </c>
      <c r="AF10" s="559">
        <v>0</v>
      </c>
      <c r="AG10" s="560">
        <v>269116</v>
      </c>
      <c r="AH10" s="560">
        <v>268704</v>
      </c>
      <c r="AI10" s="560">
        <v>319235</v>
      </c>
      <c r="AJ10" s="560">
        <v>286317</v>
      </c>
      <c r="AK10" s="560">
        <v>270263</v>
      </c>
      <c r="AL10" s="560">
        <v>268420.99</v>
      </c>
      <c r="AM10" s="560">
        <v>273726</v>
      </c>
      <c r="AN10" s="560">
        <v>5444650.9400000013</v>
      </c>
      <c r="AO10" s="560">
        <v>294682</v>
      </c>
      <c r="AP10" s="560">
        <v>-4857528</v>
      </c>
      <c r="AQ10" s="560">
        <v>315649.09999999998</v>
      </c>
      <c r="AR10" s="560">
        <f t="shared" si="2"/>
        <v>25154925.969999999</v>
      </c>
      <c r="AS10" s="561">
        <v>28308162</v>
      </c>
      <c r="AT10" s="559">
        <v>0</v>
      </c>
      <c r="AU10" s="560">
        <v>318848</v>
      </c>
      <c r="AV10" s="560">
        <v>223397</v>
      </c>
      <c r="AW10" s="560">
        <v>410894.48999999976</v>
      </c>
      <c r="AX10" s="560">
        <v>551814</v>
      </c>
      <c r="AY10" s="560">
        <v>484077.92999999993</v>
      </c>
      <c r="AZ10" s="560">
        <f t="shared" si="5"/>
        <v>1737012.8542789009</v>
      </c>
      <c r="BA10" s="560">
        <f t="shared" si="3"/>
        <v>1737012.8542789009</v>
      </c>
      <c r="BB10" s="560">
        <f t="shared" si="3"/>
        <v>1737012.8542789009</v>
      </c>
      <c r="BC10" s="560">
        <f t="shared" si="3"/>
        <v>1737012.8542789009</v>
      </c>
      <c r="BD10" s="560">
        <f t="shared" si="3"/>
        <v>1737012.8542789009</v>
      </c>
      <c r="BE10" s="560">
        <f t="shared" si="3"/>
        <v>1737012.8542789009</v>
      </c>
      <c r="BF10" s="561">
        <v>12411108.545673406</v>
      </c>
      <c r="BG10" s="559">
        <f t="shared" si="6"/>
        <v>628523.33333333337</v>
      </c>
      <c r="BH10" s="560">
        <f t="shared" si="7"/>
        <v>628523.33333333337</v>
      </c>
      <c r="BI10" s="560">
        <f t="shared" si="7"/>
        <v>628523.33333333337</v>
      </c>
      <c r="BJ10" s="560">
        <f t="shared" si="7"/>
        <v>628523.33333333337</v>
      </c>
      <c r="BK10" s="560">
        <f t="shared" si="7"/>
        <v>628523.33333333337</v>
      </c>
      <c r="BL10" s="560">
        <f t="shared" si="7"/>
        <v>628523.33333333337</v>
      </c>
      <c r="BM10" s="560">
        <f t="shared" si="7"/>
        <v>628523.33333333337</v>
      </c>
      <c r="BN10" s="560">
        <f t="shared" si="7"/>
        <v>628523.33333333337</v>
      </c>
      <c r="BO10" s="560">
        <f t="shared" si="7"/>
        <v>628523.33333333337</v>
      </c>
      <c r="BP10" s="560">
        <f t="shared" si="7"/>
        <v>628523.33333333337</v>
      </c>
      <c r="BQ10" s="560">
        <f t="shared" si="7"/>
        <v>628523.33333333337</v>
      </c>
      <c r="BR10" s="560">
        <f t="shared" si="7"/>
        <v>628523.33333333337</v>
      </c>
      <c r="BS10" s="561">
        <v>7542280</v>
      </c>
    </row>
    <row r="11" spans="1:71">
      <c r="A11" s="556"/>
      <c r="B11" s="541" t="s">
        <v>326</v>
      </c>
      <c r="C11" s="558" t="s">
        <v>242</v>
      </c>
      <c r="D11" s="559">
        <v>0</v>
      </c>
      <c r="E11" s="560">
        <v>0</v>
      </c>
      <c r="F11" s="560">
        <v>0</v>
      </c>
      <c r="G11" s="560">
        <v>0</v>
      </c>
      <c r="H11" s="560">
        <v>0</v>
      </c>
      <c r="I11" s="560">
        <v>0</v>
      </c>
      <c r="J11" s="560">
        <v>0</v>
      </c>
      <c r="K11" s="560">
        <v>0</v>
      </c>
      <c r="L11" s="560">
        <v>367</v>
      </c>
      <c r="M11" s="560">
        <v>0</v>
      </c>
      <c r="N11" s="560">
        <v>0</v>
      </c>
      <c r="O11" s="560">
        <v>0</v>
      </c>
      <c r="P11" s="560">
        <f t="shared" si="0"/>
        <v>-367</v>
      </c>
      <c r="Q11" s="561">
        <v>0</v>
      </c>
      <c r="R11" s="559">
        <v>0</v>
      </c>
      <c r="S11" s="560">
        <v>0</v>
      </c>
      <c r="T11" s="560">
        <f t="shared" ref="T11" si="8">(AE11-R11-S11)/10</f>
        <v>0</v>
      </c>
      <c r="U11" s="560">
        <f t="shared" ref="U11" si="9">(AE11-R11-S11-T11)/9</f>
        <v>0</v>
      </c>
      <c r="V11" s="560">
        <v>0</v>
      </c>
      <c r="W11" s="560">
        <f t="shared" ref="W11" si="10">(AE11-R11-S11-T11-U11-V11)/7</f>
        <v>0</v>
      </c>
      <c r="X11" s="560">
        <f t="shared" ref="X11" si="11">(AE11-D11-E11-F11-G11-H11-I11)/6</f>
        <v>0</v>
      </c>
      <c r="Y11" s="560">
        <f t="shared" ref="Y11" si="12">(AE11-R11-S11-T11-U11-V11-W11-X11)/5</f>
        <v>0</v>
      </c>
      <c r="Z11" s="560">
        <f t="shared" ref="Z11" si="13">(AE11-R11-S11-T11-U11-V11-W11-X11-Y11)/4</f>
        <v>0</v>
      </c>
      <c r="AA11" s="560">
        <f t="shared" ref="AA11" si="14">(AE11-R11-S11-T11-U11-V11-W11-X11-Y11-Z11)/3</f>
        <v>0</v>
      </c>
      <c r="AB11" s="560">
        <f t="shared" ref="AB11" si="15">(AE11-R11-S11-T11-U11-V11-W11-X11-Y11-Z11-AA11)/2</f>
        <v>0</v>
      </c>
      <c r="AC11" s="560">
        <v>0</v>
      </c>
      <c r="AD11" s="560">
        <f t="shared" si="1"/>
        <v>0</v>
      </c>
      <c r="AE11" s="561">
        <v>0</v>
      </c>
      <c r="AF11" s="559">
        <f t="shared" ref="AF11" si="16">AS11/12</f>
        <v>0</v>
      </c>
      <c r="AG11" s="560">
        <v>0</v>
      </c>
      <c r="AH11" s="560">
        <f t="shared" ref="AH11" si="17">(AS11-AF11-AG11)/10</f>
        <v>0</v>
      </c>
      <c r="AI11" s="560">
        <f t="shared" ref="AI11" si="18">(AS11-AF11-AG11-AH11)/9</f>
        <v>0</v>
      </c>
      <c r="AJ11" s="560">
        <f t="shared" ref="AJ11:AJ40" si="19">(AS11-AF11-AG11-AH11-AI11)/8</f>
        <v>0</v>
      </c>
      <c r="AK11" s="560">
        <f t="shared" ref="AK11" si="20">(AS11-AF11-AG11-AH11-AI11-AJ11)/7</f>
        <v>0</v>
      </c>
      <c r="AL11" s="560">
        <v>0</v>
      </c>
      <c r="AM11" s="560">
        <f t="shared" ref="AM11" si="21">(AS11-AF11-AG11-AH11-AI11-AJ11-AK11-AL11)/5</f>
        <v>0</v>
      </c>
      <c r="AN11" s="560">
        <v>0</v>
      </c>
      <c r="AO11" s="560">
        <f t="shared" ref="AO11" si="22">(AS11-AF11-AG11-AH11-AI11-AJ11-AK11-AL11--AM11-AN11)/3</f>
        <v>0</v>
      </c>
      <c r="AP11" s="560">
        <f t="shared" ref="AP11" si="23">(AS11-AF11-AG11-AH11-AI11-AJ11-AK11-AL11-AM11-AN11-AO11)/2</f>
        <v>0</v>
      </c>
      <c r="AQ11" s="560">
        <v>0</v>
      </c>
      <c r="AR11" s="560">
        <f t="shared" si="2"/>
        <v>0</v>
      </c>
      <c r="AS11" s="561">
        <v>0</v>
      </c>
      <c r="AT11" s="559">
        <v>0</v>
      </c>
      <c r="AU11" s="560">
        <v>0</v>
      </c>
      <c r="AV11" s="560">
        <v>0</v>
      </c>
      <c r="AW11" s="560">
        <v>0</v>
      </c>
      <c r="AX11" s="560">
        <v>0</v>
      </c>
      <c r="AY11" s="560">
        <v>0</v>
      </c>
      <c r="AZ11" s="560">
        <f t="shared" si="5"/>
        <v>651988.83333333337</v>
      </c>
      <c r="BA11" s="560">
        <f t="shared" si="3"/>
        <v>651988.83333333337</v>
      </c>
      <c r="BB11" s="560">
        <f t="shared" si="3"/>
        <v>651988.83333333337</v>
      </c>
      <c r="BC11" s="560">
        <f t="shared" si="3"/>
        <v>651988.83333333337</v>
      </c>
      <c r="BD11" s="560">
        <f t="shared" si="3"/>
        <v>651988.83333333337</v>
      </c>
      <c r="BE11" s="560">
        <f t="shared" si="3"/>
        <v>651988.83333333337</v>
      </c>
      <c r="BF11" s="561">
        <v>3911933</v>
      </c>
      <c r="BG11" s="559">
        <f t="shared" si="6"/>
        <v>0</v>
      </c>
      <c r="BH11" s="560">
        <f t="shared" si="7"/>
        <v>0</v>
      </c>
      <c r="BI11" s="560">
        <f t="shared" si="7"/>
        <v>0</v>
      </c>
      <c r="BJ11" s="560">
        <f t="shared" si="7"/>
        <v>0</v>
      </c>
      <c r="BK11" s="560">
        <f t="shared" si="7"/>
        <v>0</v>
      </c>
      <c r="BL11" s="560">
        <f t="shared" si="7"/>
        <v>0</v>
      </c>
      <c r="BM11" s="560">
        <f t="shared" si="7"/>
        <v>0</v>
      </c>
      <c r="BN11" s="560">
        <f t="shared" si="7"/>
        <v>0</v>
      </c>
      <c r="BO11" s="560">
        <f t="shared" si="7"/>
        <v>0</v>
      </c>
      <c r="BP11" s="560">
        <f t="shared" si="7"/>
        <v>0</v>
      </c>
      <c r="BQ11" s="560">
        <f t="shared" si="7"/>
        <v>0</v>
      </c>
      <c r="BR11" s="560">
        <f t="shared" si="7"/>
        <v>0</v>
      </c>
      <c r="BS11" s="561">
        <v>0</v>
      </c>
    </row>
    <row r="12" spans="1:71">
      <c r="A12" s="556"/>
      <c r="B12" s="541" t="s">
        <v>327</v>
      </c>
      <c r="C12" s="558" t="s">
        <v>243</v>
      </c>
      <c r="D12" s="559">
        <v>0</v>
      </c>
      <c r="E12" s="560">
        <v>962.87</v>
      </c>
      <c r="F12" s="560">
        <v>1621</v>
      </c>
      <c r="G12" s="560">
        <v>24679</v>
      </c>
      <c r="H12" s="560">
        <v>13376</v>
      </c>
      <c r="I12" s="560">
        <v>5635</v>
      </c>
      <c r="J12" s="560">
        <v>17371</v>
      </c>
      <c r="K12" s="560">
        <v>19207</v>
      </c>
      <c r="L12" s="560">
        <v>30034</v>
      </c>
      <c r="M12" s="560">
        <v>19830.716541999998</v>
      </c>
      <c r="N12" s="560">
        <v>28267</v>
      </c>
      <c r="O12" s="560">
        <v>6330.0845618399944</v>
      </c>
      <c r="P12" s="560">
        <f t="shared" si="0"/>
        <v>-66474.347019668727</v>
      </c>
      <c r="Q12" s="561">
        <v>100839.32408417127</v>
      </c>
      <c r="R12" s="559">
        <v>9943</v>
      </c>
      <c r="S12" s="560">
        <v>14735</v>
      </c>
      <c r="T12" s="560">
        <v>16737</v>
      </c>
      <c r="U12" s="560">
        <v>7255</v>
      </c>
      <c r="V12" s="560">
        <v>26222</v>
      </c>
      <c r="W12" s="560">
        <v>9521</v>
      </c>
      <c r="X12" s="560">
        <v>30656</v>
      </c>
      <c r="Y12" s="560">
        <v>464902</v>
      </c>
      <c r="Z12" s="560">
        <v>70394.651583999934</v>
      </c>
      <c r="AA12" s="560">
        <v>20653</v>
      </c>
      <c r="AB12" s="560">
        <v>79080</v>
      </c>
      <c r="AC12" s="560">
        <v>703537</v>
      </c>
      <c r="AD12" s="560">
        <f t="shared" si="1"/>
        <v>-1345806.6515839999</v>
      </c>
      <c r="AE12" s="561">
        <v>107829</v>
      </c>
      <c r="AF12" s="559">
        <v>6110</v>
      </c>
      <c r="AG12" s="560">
        <v>179772</v>
      </c>
      <c r="AH12" s="560">
        <v>130771</v>
      </c>
      <c r="AI12" s="560">
        <v>63171</v>
      </c>
      <c r="AJ12" s="560">
        <v>16281</v>
      </c>
      <c r="AK12" s="560">
        <v>47365</v>
      </c>
      <c r="AL12" s="560">
        <v>17021.066386999963</v>
      </c>
      <c r="AM12" s="560">
        <v>18554</v>
      </c>
      <c r="AN12" s="560">
        <v>32492.605499999991</v>
      </c>
      <c r="AO12" s="560">
        <v>12178</v>
      </c>
      <c r="AP12" s="560">
        <v>3193</v>
      </c>
      <c r="AQ12" s="560">
        <v>11130.499713000001</v>
      </c>
      <c r="AR12" s="560">
        <f t="shared" si="2"/>
        <v>-513629.1716</v>
      </c>
      <c r="AS12" s="561">
        <v>24410</v>
      </c>
      <c r="AT12" s="559">
        <v>351</v>
      </c>
      <c r="AU12" s="560">
        <v>4743</v>
      </c>
      <c r="AV12" s="560">
        <v>5838</v>
      </c>
      <c r="AW12" s="560">
        <v>8896.355899999995</v>
      </c>
      <c r="AX12" s="560">
        <v>14776</v>
      </c>
      <c r="AY12" s="560">
        <v>15495.29176</v>
      </c>
      <c r="AZ12" s="560">
        <f t="shared" si="5"/>
        <v>11130.892056666669</v>
      </c>
      <c r="BA12" s="560">
        <f t="shared" si="3"/>
        <v>11130.892056666669</v>
      </c>
      <c r="BB12" s="560">
        <f t="shared" si="3"/>
        <v>11130.892056666669</v>
      </c>
      <c r="BC12" s="560">
        <f t="shared" si="3"/>
        <v>11130.892056666669</v>
      </c>
      <c r="BD12" s="560">
        <f t="shared" si="3"/>
        <v>11130.892056666669</v>
      </c>
      <c r="BE12" s="560">
        <f t="shared" si="3"/>
        <v>11130.892056666669</v>
      </c>
      <c r="BF12" s="561">
        <v>116885</v>
      </c>
      <c r="BG12" s="559">
        <f t="shared" si="6"/>
        <v>8557.75</v>
      </c>
      <c r="BH12" s="560">
        <f t="shared" si="7"/>
        <v>8557.75</v>
      </c>
      <c r="BI12" s="560">
        <f t="shared" si="7"/>
        <v>8557.75</v>
      </c>
      <c r="BJ12" s="560">
        <f t="shared" si="7"/>
        <v>8557.75</v>
      </c>
      <c r="BK12" s="560">
        <f t="shared" si="7"/>
        <v>8557.75</v>
      </c>
      <c r="BL12" s="560">
        <f t="shared" si="7"/>
        <v>8557.75</v>
      </c>
      <c r="BM12" s="560">
        <f t="shared" si="7"/>
        <v>8557.75</v>
      </c>
      <c r="BN12" s="560">
        <f t="shared" si="7"/>
        <v>8557.75</v>
      </c>
      <c r="BO12" s="560">
        <f t="shared" si="7"/>
        <v>8557.75</v>
      </c>
      <c r="BP12" s="560">
        <f t="shared" si="7"/>
        <v>8557.75</v>
      </c>
      <c r="BQ12" s="560">
        <f t="shared" si="7"/>
        <v>8557.75</v>
      </c>
      <c r="BR12" s="560">
        <f t="shared" si="7"/>
        <v>8557.75</v>
      </c>
      <c r="BS12" s="561">
        <v>102693</v>
      </c>
    </row>
    <row r="13" spans="1:71">
      <c r="A13" s="556"/>
      <c r="B13" s="541" t="s">
        <v>328</v>
      </c>
      <c r="C13" s="558" t="s">
        <v>244</v>
      </c>
      <c r="D13" s="559">
        <v>0</v>
      </c>
      <c r="E13" s="560">
        <v>0</v>
      </c>
      <c r="F13" s="560">
        <v>0</v>
      </c>
      <c r="G13" s="560">
        <v>501809</v>
      </c>
      <c r="H13" s="560">
        <v>17689</v>
      </c>
      <c r="I13" s="560">
        <v>1112197</v>
      </c>
      <c r="J13" s="560">
        <v>18254</v>
      </c>
      <c r="K13" s="560">
        <v>652360</v>
      </c>
      <c r="L13" s="560">
        <v>1231098</v>
      </c>
      <c r="M13" s="560">
        <v>79122.922318000012</v>
      </c>
      <c r="N13" s="560">
        <v>1973826</v>
      </c>
      <c r="O13" s="560">
        <v>74172.210214959981</v>
      </c>
      <c r="P13" s="560">
        <f t="shared" si="0"/>
        <v>-5655987.3550012494</v>
      </c>
      <c r="Q13" s="561">
        <v>4540.7775317118003</v>
      </c>
      <c r="R13" s="559">
        <v>1674</v>
      </c>
      <c r="S13" s="560">
        <v>788492</v>
      </c>
      <c r="T13" s="560">
        <v>102941</v>
      </c>
      <c r="U13" s="560">
        <v>526467</v>
      </c>
      <c r="V13" s="560">
        <v>1080800</v>
      </c>
      <c r="W13" s="560">
        <v>79192</v>
      </c>
      <c r="X13" s="560">
        <v>610085</v>
      </c>
      <c r="Y13" s="560">
        <v>1126322</v>
      </c>
      <c r="Z13" s="560">
        <v>864150.37662399956</v>
      </c>
      <c r="AA13" s="560">
        <v>407726</v>
      </c>
      <c r="AB13" s="560">
        <v>686294</v>
      </c>
      <c r="AC13" s="560">
        <v>11</v>
      </c>
      <c r="AD13" s="560">
        <f t="shared" si="1"/>
        <v>1340537.6233760007</v>
      </c>
      <c r="AE13" s="561">
        <v>7614692</v>
      </c>
      <c r="AF13" s="559">
        <v>613031</v>
      </c>
      <c r="AG13" s="560">
        <v>636848</v>
      </c>
      <c r="AH13" s="560">
        <v>20024</v>
      </c>
      <c r="AI13" s="560">
        <v>30541</v>
      </c>
      <c r="AJ13" s="560">
        <v>14024</v>
      </c>
      <c r="AK13" s="560">
        <v>2220840</v>
      </c>
      <c r="AL13" s="560">
        <v>428471.17241599993</v>
      </c>
      <c r="AM13" s="560">
        <v>220539</v>
      </c>
      <c r="AN13" s="560">
        <v>1862602.9400799994</v>
      </c>
      <c r="AO13" s="560">
        <v>13205</v>
      </c>
      <c r="AP13" s="560">
        <v>909101</v>
      </c>
      <c r="AQ13" s="560">
        <v>24534.906656999992</v>
      </c>
      <c r="AR13" s="560">
        <f t="shared" si="2"/>
        <v>825384.98084700108</v>
      </c>
      <c r="AS13" s="561">
        <v>7819147</v>
      </c>
      <c r="AT13" s="559">
        <v>587351</v>
      </c>
      <c r="AU13" s="560">
        <f>1241600-2705892</f>
        <v>-1464292</v>
      </c>
      <c r="AV13" s="560">
        <v>77627</v>
      </c>
      <c r="AW13" s="560">
        <v>533514.76561999973</v>
      </c>
      <c r="AX13" s="560">
        <v>169851</v>
      </c>
      <c r="AY13" s="560">
        <v>1639314.2983600004</v>
      </c>
      <c r="AZ13" s="560">
        <f t="shared" si="5"/>
        <v>-256627.01066333335</v>
      </c>
      <c r="BA13" s="560">
        <f t="shared" si="3"/>
        <v>-256627.01066333335</v>
      </c>
      <c r="BB13" s="560">
        <f t="shared" si="3"/>
        <v>-256627.01066333335</v>
      </c>
      <c r="BC13" s="560">
        <f t="shared" si="3"/>
        <v>-256627.01066333335</v>
      </c>
      <c r="BD13" s="560">
        <f t="shared" si="3"/>
        <v>-256627.01066333335</v>
      </c>
      <c r="BE13" s="560">
        <f t="shared" si="3"/>
        <v>-256627.01066333335</v>
      </c>
      <c r="BF13" s="561">
        <v>3604</v>
      </c>
      <c r="BG13" s="559">
        <f t="shared" si="6"/>
        <v>735390</v>
      </c>
      <c r="BH13" s="560">
        <f t="shared" si="7"/>
        <v>735390</v>
      </c>
      <c r="BI13" s="560">
        <f t="shared" si="7"/>
        <v>735390</v>
      </c>
      <c r="BJ13" s="560">
        <f t="shared" si="7"/>
        <v>735390</v>
      </c>
      <c r="BK13" s="560">
        <f t="shared" si="7"/>
        <v>735390</v>
      </c>
      <c r="BL13" s="560">
        <f t="shared" si="7"/>
        <v>735390</v>
      </c>
      <c r="BM13" s="560">
        <f t="shared" si="7"/>
        <v>735390</v>
      </c>
      <c r="BN13" s="560">
        <f t="shared" si="7"/>
        <v>735390</v>
      </c>
      <c r="BO13" s="560">
        <f t="shared" si="7"/>
        <v>735390</v>
      </c>
      <c r="BP13" s="560">
        <f t="shared" si="7"/>
        <v>735390</v>
      </c>
      <c r="BQ13" s="560">
        <f t="shared" si="7"/>
        <v>735390</v>
      </c>
      <c r="BR13" s="560">
        <f t="shared" si="7"/>
        <v>735390</v>
      </c>
      <c r="BS13" s="561">
        <v>8824680</v>
      </c>
    </row>
    <row r="14" spans="1:71">
      <c r="A14" s="556"/>
      <c r="B14" s="541" t="s">
        <v>329</v>
      </c>
      <c r="C14" s="558" t="s">
        <v>245</v>
      </c>
      <c r="D14" s="559">
        <v>167700.57594710001</v>
      </c>
      <c r="E14" s="560">
        <v>3711507.0300000012</v>
      </c>
      <c r="F14" s="560">
        <v>3993235</v>
      </c>
      <c r="G14" s="560">
        <v>3377515</v>
      </c>
      <c r="H14" s="560">
        <v>4157477</v>
      </c>
      <c r="I14" s="560">
        <v>4342554</v>
      </c>
      <c r="J14" s="560">
        <v>4837129</v>
      </c>
      <c r="K14" s="560">
        <v>4371639</v>
      </c>
      <c r="L14" s="560">
        <v>5356069</v>
      </c>
      <c r="M14" s="560">
        <v>4598757.0550859999</v>
      </c>
      <c r="N14" s="560">
        <v>5196676</v>
      </c>
      <c r="O14" s="560">
        <v>4688612.0910538109</v>
      </c>
      <c r="P14" s="560">
        <f t="shared" si="0"/>
        <v>18874406.247913085</v>
      </c>
      <c r="Q14" s="561">
        <v>67673277</v>
      </c>
      <c r="R14" s="559">
        <v>297425</v>
      </c>
      <c r="S14" s="560">
        <v>3699192</v>
      </c>
      <c r="T14" s="560">
        <v>4996705</v>
      </c>
      <c r="U14" s="560">
        <v>3997036</v>
      </c>
      <c r="V14" s="560">
        <v>4658755</v>
      </c>
      <c r="W14" s="560">
        <v>4521655</v>
      </c>
      <c r="X14" s="560">
        <v>4878687</v>
      </c>
      <c r="Y14" s="560">
        <v>3457621</v>
      </c>
      <c r="Z14" s="560">
        <v>2024855.8327680039</v>
      </c>
      <c r="AA14" s="560">
        <v>2242450</v>
      </c>
      <c r="AB14" s="560">
        <v>2722745</v>
      </c>
      <c r="AC14" s="560">
        <v>2215949</v>
      </c>
      <c r="AD14" s="560">
        <f t="shared" si="1"/>
        <v>16417406.167231992</v>
      </c>
      <c r="AE14" s="561">
        <v>56130482</v>
      </c>
      <c r="AF14" s="559">
        <v>353357</v>
      </c>
      <c r="AG14" s="560">
        <v>2857649</v>
      </c>
      <c r="AH14" s="560">
        <v>2764176</v>
      </c>
      <c r="AI14" s="560">
        <v>3126824</v>
      </c>
      <c r="AJ14" s="560">
        <v>2863719</v>
      </c>
      <c r="AK14" s="560">
        <v>2380696</v>
      </c>
      <c r="AL14" s="560">
        <v>3000650.0944330124</v>
      </c>
      <c r="AM14" s="560">
        <v>3780740</v>
      </c>
      <c r="AN14" s="560">
        <v>3606554.2389900023</v>
      </c>
      <c r="AO14" s="560">
        <v>3352575</v>
      </c>
      <c r="AP14" s="560">
        <v>3787484</v>
      </c>
      <c r="AQ14" s="560">
        <v>2942635.5032589962</v>
      </c>
      <c r="AR14" s="560">
        <f t="shared" si="2"/>
        <v>10122546.163317986</v>
      </c>
      <c r="AS14" s="561">
        <v>44939606</v>
      </c>
      <c r="AT14" s="559">
        <v>93104</v>
      </c>
      <c r="AU14" s="560">
        <v>3093500</v>
      </c>
      <c r="AV14" s="560">
        <f>3499831</f>
        <v>3499831</v>
      </c>
      <c r="AW14" s="560">
        <v>4214346.2532549985</v>
      </c>
      <c r="AX14" s="560">
        <v>4319981</v>
      </c>
      <c r="AY14" s="560">
        <v>3524892.5983600006</v>
      </c>
      <c r="AZ14" s="560">
        <f t="shared" si="5"/>
        <v>5406822.1913975002</v>
      </c>
      <c r="BA14" s="560">
        <f t="shared" si="3"/>
        <v>5406822.1913975002</v>
      </c>
      <c r="BB14" s="560">
        <f t="shared" si="3"/>
        <v>5406822.1913975002</v>
      </c>
      <c r="BC14" s="560">
        <f t="shared" si="3"/>
        <v>5406822.1913975002</v>
      </c>
      <c r="BD14" s="560">
        <f t="shared" si="3"/>
        <v>5406822.1913975002</v>
      </c>
      <c r="BE14" s="560">
        <f t="shared" si="3"/>
        <v>5406822.1913975002</v>
      </c>
      <c r="BF14" s="561">
        <v>51186588</v>
      </c>
      <c r="BG14" s="559">
        <f t="shared" si="6"/>
        <v>4349518.583333333</v>
      </c>
      <c r="BH14" s="560">
        <f t="shared" si="7"/>
        <v>4349518.583333333</v>
      </c>
      <c r="BI14" s="560">
        <f t="shared" si="7"/>
        <v>4349518.583333333</v>
      </c>
      <c r="BJ14" s="560">
        <f t="shared" si="7"/>
        <v>4349518.583333333</v>
      </c>
      <c r="BK14" s="560">
        <f t="shared" si="7"/>
        <v>4349518.583333333</v>
      </c>
      <c r="BL14" s="560">
        <f t="shared" si="7"/>
        <v>4349518.583333333</v>
      </c>
      <c r="BM14" s="560">
        <f t="shared" si="7"/>
        <v>4349518.583333333</v>
      </c>
      <c r="BN14" s="560">
        <f t="shared" si="7"/>
        <v>4349518.583333333</v>
      </c>
      <c r="BO14" s="560">
        <f t="shared" si="7"/>
        <v>4349518.583333333</v>
      </c>
      <c r="BP14" s="560">
        <f t="shared" si="7"/>
        <v>4349518.583333333</v>
      </c>
      <c r="BQ14" s="560">
        <f t="shared" si="7"/>
        <v>4349518.583333333</v>
      </c>
      <c r="BR14" s="560">
        <f t="shared" si="7"/>
        <v>4349518.583333333</v>
      </c>
      <c r="BS14" s="561">
        <v>52194223</v>
      </c>
    </row>
    <row r="15" spans="1:71">
      <c r="A15" s="556"/>
      <c r="B15" s="541" t="s">
        <v>330</v>
      </c>
      <c r="C15" s="558" t="s">
        <v>246</v>
      </c>
      <c r="D15" s="559">
        <v>0</v>
      </c>
      <c r="E15" s="564">
        <v>73.900000000000006</v>
      </c>
      <c r="F15" s="560">
        <v>0</v>
      </c>
      <c r="G15" s="560">
        <v>7467</v>
      </c>
      <c r="H15" s="560">
        <v>53</v>
      </c>
      <c r="I15" s="560">
        <v>9628</v>
      </c>
      <c r="J15" s="560">
        <v>6304</v>
      </c>
      <c r="K15" s="560">
        <v>5526</v>
      </c>
      <c r="L15" s="560">
        <v>29483</v>
      </c>
      <c r="M15" s="560">
        <v>0</v>
      </c>
      <c r="N15" s="560">
        <v>6658</v>
      </c>
      <c r="O15" s="560">
        <v>9030</v>
      </c>
      <c r="P15" s="560">
        <f t="shared" si="0"/>
        <v>32307.765755205706</v>
      </c>
      <c r="Q15" s="561">
        <v>106530.6657552057</v>
      </c>
      <c r="R15" s="559">
        <v>3488</v>
      </c>
      <c r="S15" s="560">
        <v>3508</v>
      </c>
      <c r="T15" s="560">
        <v>25838</v>
      </c>
      <c r="U15" s="560">
        <v>1825</v>
      </c>
      <c r="V15" s="560">
        <v>11186</v>
      </c>
      <c r="W15" s="560">
        <v>25429</v>
      </c>
      <c r="X15" s="560">
        <v>1170</v>
      </c>
      <c r="Y15" s="560">
        <v>6344</v>
      </c>
      <c r="Z15" s="560">
        <v>1054.3141440000006</v>
      </c>
      <c r="AA15" s="560">
        <v>1929</v>
      </c>
      <c r="AB15" s="560">
        <v>1873</v>
      </c>
      <c r="AC15" s="560">
        <v>500</v>
      </c>
      <c r="AD15" s="560">
        <f t="shared" si="1"/>
        <v>57493.685855999996</v>
      </c>
      <c r="AE15" s="561">
        <v>141638</v>
      </c>
      <c r="AF15" s="559">
        <v>0</v>
      </c>
      <c r="AG15" s="560">
        <v>24300</v>
      </c>
      <c r="AH15" s="560">
        <v>949</v>
      </c>
      <c r="AI15" s="560">
        <v>295</v>
      </c>
      <c r="AJ15" s="560">
        <v>690</v>
      </c>
      <c r="AK15" s="560">
        <v>0</v>
      </c>
      <c r="AL15" s="560">
        <v>-34.40499999999998</v>
      </c>
      <c r="AM15" s="560">
        <v>762</v>
      </c>
      <c r="AN15" s="560">
        <v>0</v>
      </c>
      <c r="AO15" s="560">
        <v>0</v>
      </c>
      <c r="AP15" s="560">
        <v>97</v>
      </c>
      <c r="AQ15" s="560">
        <v>0</v>
      </c>
      <c r="AR15" s="560">
        <f t="shared" si="2"/>
        <v>95829.404999999999</v>
      </c>
      <c r="AS15" s="561">
        <v>122888</v>
      </c>
      <c r="AT15" s="559">
        <v>250</v>
      </c>
      <c r="AU15" s="564">
        <v>3548</v>
      </c>
      <c r="AV15" s="560">
        <v>24480</v>
      </c>
      <c r="AW15" s="560">
        <v>1440</v>
      </c>
      <c r="AX15" s="560">
        <v>756</v>
      </c>
      <c r="AY15" s="560">
        <v>20017.330000000005</v>
      </c>
      <c r="AZ15" s="560">
        <f t="shared" si="5"/>
        <v>7094.6116666666667</v>
      </c>
      <c r="BA15" s="560">
        <f t="shared" si="3"/>
        <v>7094.6116666666667</v>
      </c>
      <c r="BB15" s="560">
        <f t="shared" si="3"/>
        <v>7094.6116666666667</v>
      </c>
      <c r="BC15" s="560">
        <f t="shared" si="3"/>
        <v>7094.6116666666667</v>
      </c>
      <c r="BD15" s="560">
        <f t="shared" si="3"/>
        <v>7094.6116666666667</v>
      </c>
      <c r="BE15" s="560">
        <f t="shared" si="3"/>
        <v>7094.6116666666667</v>
      </c>
      <c r="BF15" s="561">
        <v>93059</v>
      </c>
      <c r="BG15" s="559">
        <f t="shared" si="6"/>
        <v>18356.833333333332</v>
      </c>
      <c r="BH15" s="560">
        <f t="shared" si="7"/>
        <v>18356.833333333332</v>
      </c>
      <c r="BI15" s="560">
        <f t="shared" si="7"/>
        <v>18356.833333333332</v>
      </c>
      <c r="BJ15" s="560">
        <f t="shared" si="7"/>
        <v>18356.833333333332</v>
      </c>
      <c r="BK15" s="560">
        <f t="shared" si="7"/>
        <v>18356.833333333332</v>
      </c>
      <c r="BL15" s="560">
        <f t="shared" si="7"/>
        <v>18356.833333333332</v>
      </c>
      <c r="BM15" s="560">
        <f t="shared" si="7"/>
        <v>18356.833333333332</v>
      </c>
      <c r="BN15" s="560">
        <f t="shared" si="7"/>
        <v>18356.833333333332</v>
      </c>
      <c r="BO15" s="560">
        <f t="shared" si="7"/>
        <v>18356.833333333332</v>
      </c>
      <c r="BP15" s="560">
        <f t="shared" si="7"/>
        <v>18356.833333333332</v>
      </c>
      <c r="BQ15" s="560">
        <f t="shared" si="7"/>
        <v>18356.833333333332</v>
      </c>
      <c r="BR15" s="560">
        <f t="shared" si="7"/>
        <v>18356.833333333332</v>
      </c>
      <c r="BS15" s="561">
        <v>220282</v>
      </c>
    </row>
    <row r="16" spans="1:71" ht="16.5" customHeight="1">
      <c r="A16" s="556"/>
      <c r="B16" s="541" t="s">
        <v>331</v>
      </c>
      <c r="C16" s="558" t="s">
        <v>332</v>
      </c>
      <c r="D16" s="559">
        <v>0</v>
      </c>
      <c r="E16" s="564">
        <v>0</v>
      </c>
      <c r="F16" s="560">
        <v>0</v>
      </c>
      <c r="G16" s="560">
        <v>23138</v>
      </c>
      <c r="H16" s="560">
        <v>22855</v>
      </c>
      <c r="I16" s="560">
        <v>381</v>
      </c>
      <c r="J16" s="560">
        <v>57782</v>
      </c>
      <c r="K16" s="560">
        <v>23106</v>
      </c>
      <c r="L16" s="560">
        <v>32717</v>
      </c>
      <c r="M16" s="560">
        <v>22619.275271999999</v>
      </c>
      <c r="N16" s="560">
        <v>27276</v>
      </c>
      <c r="O16" s="560">
        <v>35297.064300680016</v>
      </c>
      <c r="P16" s="560">
        <f t="shared" si="0"/>
        <v>-226139.14322467137</v>
      </c>
      <c r="Q16" s="561">
        <v>19032.196348008649</v>
      </c>
      <c r="R16" s="559">
        <v>380</v>
      </c>
      <c r="S16" s="560">
        <v>410271</v>
      </c>
      <c r="T16" s="560">
        <v>26092</v>
      </c>
      <c r="U16" s="560">
        <v>0</v>
      </c>
      <c r="V16" s="560">
        <v>25670</v>
      </c>
      <c r="W16" s="560">
        <v>29665</v>
      </c>
      <c r="X16" s="560">
        <v>59618</v>
      </c>
      <c r="Y16" s="560">
        <v>-363619.23176</v>
      </c>
      <c r="Z16" s="560">
        <v>22017.353856000002</v>
      </c>
      <c r="AA16" s="560">
        <v>44807</v>
      </c>
      <c r="AB16" s="560">
        <v>21292</v>
      </c>
      <c r="AC16" s="560">
        <v>0</v>
      </c>
      <c r="AD16" s="560">
        <f t="shared" si="1"/>
        <v>-264558.12209600001</v>
      </c>
      <c r="AE16" s="561">
        <v>11635</v>
      </c>
      <c r="AF16" s="559">
        <v>0</v>
      </c>
      <c r="AG16" s="560">
        <v>22574</v>
      </c>
      <c r="AH16" s="560">
        <v>0</v>
      </c>
      <c r="AI16" s="560">
        <v>44577</v>
      </c>
      <c r="AJ16" s="560">
        <v>0</v>
      </c>
      <c r="AK16" s="560">
        <v>19167</v>
      </c>
      <c r="AL16" s="560">
        <v>17800.128612000022</v>
      </c>
      <c r="AM16" s="560">
        <v>0</v>
      </c>
      <c r="AN16" s="560">
        <v>16713.165700000001</v>
      </c>
      <c r="AO16" s="560">
        <v>30896</v>
      </c>
      <c r="AP16" s="560">
        <v>14085</v>
      </c>
      <c r="AQ16" s="560">
        <v>15413.016557999994</v>
      </c>
      <c r="AR16" s="560">
        <f t="shared" si="2"/>
        <v>-173653.31087000004</v>
      </c>
      <c r="AS16" s="561">
        <v>7572</v>
      </c>
      <c r="AT16" s="559">
        <v>0</v>
      </c>
      <c r="AU16" s="564">
        <v>0</v>
      </c>
      <c r="AV16" s="560">
        <v>0</v>
      </c>
      <c r="AW16" s="560">
        <v>0</v>
      </c>
      <c r="AX16" s="560">
        <v>0</v>
      </c>
      <c r="AY16" s="560">
        <v>0</v>
      </c>
      <c r="AZ16" s="560">
        <f t="shared" si="5"/>
        <v>934.66666666666663</v>
      </c>
      <c r="BA16" s="560">
        <f t="shared" si="3"/>
        <v>934.66666666666663</v>
      </c>
      <c r="BB16" s="560">
        <f t="shared" si="3"/>
        <v>934.66666666666663</v>
      </c>
      <c r="BC16" s="560">
        <f t="shared" si="3"/>
        <v>934.66666666666663</v>
      </c>
      <c r="BD16" s="560">
        <f t="shared" si="3"/>
        <v>934.66666666666663</v>
      </c>
      <c r="BE16" s="560">
        <f t="shared" si="3"/>
        <v>934.66666666666663</v>
      </c>
      <c r="BF16" s="561">
        <v>5608</v>
      </c>
      <c r="BG16" s="559">
        <f t="shared" si="6"/>
        <v>239.33333333333334</v>
      </c>
      <c r="BH16" s="560">
        <f t="shared" si="7"/>
        <v>239.33333333333334</v>
      </c>
      <c r="BI16" s="560">
        <f t="shared" si="7"/>
        <v>239.33333333333334</v>
      </c>
      <c r="BJ16" s="560">
        <f t="shared" si="7"/>
        <v>239.33333333333334</v>
      </c>
      <c r="BK16" s="560">
        <f t="shared" si="7"/>
        <v>239.33333333333334</v>
      </c>
      <c r="BL16" s="560">
        <f t="shared" si="7"/>
        <v>239.33333333333334</v>
      </c>
      <c r="BM16" s="560">
        <f t="shared" si="7"/>
        <v>239.33333333333334</v>
      </c>
      <c r="BN16" s="560">
        <f t="shared" si="7"/>
        <v>239.33333333333334</v>
      </c>
      <c r="BO16" s="560">
        <f t="shared" si="7"/>
        <v>239.33333333333334</v>
      </c>
      <c r="BP16" s="560">
        <f t="shared" si="7"/>
        <v>239.33333333333334</v>
      </c>
      <c r="BQ16" s="560">
        <f t="shared" si="7"/>
        <v>239.33333333333334</v>
      </c>
      <c r="BR16" s="560">
        <f t="shared" si="7"/>
        <v>239.33333333333334</v>
      </c>
      <c r="BS16" s="561">
        <v>2872</v>
      </c>
    </row>
    <row r="17" spans="1:71">
      <c r="A17" s="556"/>
      <c r="B17" s="541" t="s">
        <v>333</v>
      </c>
      <c r="C17" s="558" t="s">
        <v>247</v>
      </c>
      <c r="D17" s="559">
        <v>3026114.1423633411</v>
      </c>
      <c r="E17" s="564">
        <v>2390951.8322315603</v>
      </c>
      <c r="F17" s="560">
        <v>3266618</v>
      </c>
      <c r="G17" s="560">
        <v>2004029</v>
      </c>
      <c r="H17" s="560">
        <v>3341250</v>
      </c>
      <c r="I17" s="560">
        <v>2468621</v>
      </c>
      <c r="J17" s="560">
        <v>2170802</v>
      </c>
      <c r="K17" s="560">
        <f>2443307-103437</f>
        <v>2339870</v>
      </c>
      <c r="L17" s="560">
        <f>51185479-925</f>
        <v>51184554</v>
      </c>
      <c r="M17" s="560">
        <f>2413020.549958-81</f>
        <v>2412939.549958</v>
      </c>
      <c r="N17" s="560">
        <f>17414612+20989</f>
        <v>17435601</v>
      </c>
      <c r="O17" s="560">
        <f>19401796.4301785+119</f>
        <v>19401915.430178501</v>
      </c>
      <c r="P17" s="560">
        <f t="shared" si="0"/>
        <v>-108000615.9547314</v>
      </c>
      <c r="Q17" s="561">
        <f>3322988+119662</f>
        <v>3442650</v>
      </c>
      <c r="R17" s="559">
        <f>9130613-116</f>
        <v>9130497</v>
      </c>
      <c r="S17" s="560">
        <v>2084221</v>
      </c>
      <c r="T17" s="560">
        <f>-4037920+17372</f>
        <v>-4020548</v>
      </c>
      <c r="U17" s="560">
        <f>1939915+62450</f>
        <v>2002365</v>
      </c>
      <c r="V17" s="560">
        <f>2311200+219032</f>
        <v>2530232</v>
      </c>
      <c r="W17" s="560">
        <f>36456626+5044027</f>
        <v>41500653</v>
      </c>
      <c r="X17" s="560">
        <f>9159230+1165001</f>
        <v>10324231</v>
      </c>
      <c r="Y17" s="560">
        <f>9719834+1904683</f>
        <v>11624517</v>
      </c>
      <c r="Z17" s="560">
        <f>2721999.406144+222648</f>
        <v>2944647.4061440001</v>
      </c>
      <c r="AA17" s="560">
        <f>16318336+1422096</f>
        <v>17740432</v>
      </c>
      <c r="AB17" s="560">
        <f>8666098+1319747</f>
        <v>9985845</v>
      </c>
      <c r="AC17" s="560">
        <f>1768765+6304956-213709</f>
        <v>7860012</v>
      </c>
      <c r="AD17" s="560">
        <f t="shared" si="1"/>
        <v>-41947708.406143993</v>
      </c>
      <c r="AE17" s="561">
        <f>74006413-433536+22-1147618-34822-631063</f>
        <v>71759396</v>
      </c>
      <c r="AF17" s="559">
        <f>2927240+91851-1498</f>
        <v>3017593</v>
      </c>
      <c r="AG17" s="560">
        <f>2057692+63122-3731</f>
        <v>2117083</v>
      </c>
      <c r="AH17" s="560">
        <f>2739075-220370-3635</f>
        <v>2515070</v>
      </c>
      <c r="AI17" s="560">
        <f>2012557+60611+4796</f>
        <v>2077964</v>
      </c>
      <c r="AJ17" s="560">
        <f>1847957+66472</f>
        <v>1914429</v>
      </c>
      <c r="AK17" s="560">
        <f>1921440+515634+26</f>
        <v>2437100</v>
      </c>
      <c r="AL17" s="560">
        <f>2348964.49156201-64239</f>
        <v>2284725.4915620098</v>
      </c>
      <c r="AM17" s="560">
        <f>2057987+46860</f>
        <v>2104847</v>
      </c>
      <c r="AN17" s="560">
        <f>60884438.94875+4005637+26</f>
        <v>64890101.948749997</v>
      </c>
      <c r="AO17" s="560">
        <f>8501312+1285251-50</f>
        <v>9786513</v>
      </c>
      <c r="AP17" s="560">
        <f>3590694+582234</f>
        <v>4172928</v>
      </c>
      <c r="AQ17" s="560">
        <v>2813713.3006419628</v>
      </c>
      <c r="AR17" s="560">
        <f t="shared" si="2"/>
        <v>12578209.259046033</v>
      </c>
      <c r="AS17" s="561">
        <f>111137230+2080000-2583-3873-500497</f>
        <v>112710277</v>
      </c>
      <c r="AT17" s="559">
        <v>1754078</v>
      </c>
      <c r="AU17" s="564">
        <v>3793540</v>
      </c>
      <c r="AV17" s="560">
        <v>2550416</v>
      </c>
      <c r="AW17" s="560">
        <v>2816855.2337050075</v>
      </c>
      <c r="AX17" s="560">
        <v>4908924.6433439981</v>
      </c>
      <c r="AY17" s="560">
        <f>2665807.3148+214329</f>
        <v>2880136.3147999998</v>
      </c>
      <c r="AZ17" s="560">
        <f t="shared" si="5"/>
        <v>16386013.301358499</v>
      </c>
      <c r="BA17" s="560">
        <f t="shared" si="3"/>
        <v>16386013.301358499</v>
      </c>
      <c r="BB17" s="560">
        <f t="shared" si="3"/>
        <v>16386013.301358499</v>
      </c>
      <c r="BC17" s="560">
        <f t="shared" si="3"/>
        <v>16386013.301358499</v>
      </c>
      <c r="BD17" s="560">
        <f t="shared" si="3"/>
        <v>16386013.301358499</v>
      </c>
      <c r="BE17" s="560">
        <f t="shared" si="3"/>
        <v>16386013.301358499</v>
      </c>
      <c r="BF17" s="561">
        <f>6312969+109938183+3871-134993+900000</f>
        <v>117020030</v>
      </c>
      <c r="BG17" s="559">
        <f t="shared" si="6"/>
        <v>10004239.166666666</v>
      </c>
      <c r="BH17" s="560">
        <f t="shared" si="7"/>
        <v>10004239.166666666</v>
      </c>
      <c r="BI17" s="560">
        <f t="shared" si="7"/>
        <v>10004239.166666666</v>
      </c>
      <c r="BJ17" s="560">
        <f t="shared" si="7"/>
        <v>10004239.166666666</v>
      </c>
      <c r="BK17" s="560">
        <f t="shared" si="7"/>
        <v>10004239.166666666</v>
      </c>
      <c r="BL17" s="560">
        <f t="shared" si="7"/>
        <v>10004239.166666666</v>
      </c>
      <c r="BM17" s="560">
        <f t="shared" si="7"/>
        <v>10004239.166666666</v>
      </c>
      <c r="BN17" s="560">
        <f t="shared" si="7"/>
        <v>10004239.166666666</v>
      </c>
      <c r="BO17" s="560">
        <f t="shared" si="7"/>
        <v>10004239.166666666</v>
      </c>
      <c r="BP17" s="560">
        <f t="shared" si="7"/>
        <v>10004239.166666666</v>
      </c>
      <c r="BQ17" s="560">
        <f t="shared" si="7"/>
        <v>10004239.166666666</v>
      </c>
      <c r="BR17" s="560">
        <f t="shared" si="7"/>
        <v>10004239.166666666</v>
      </c>
      <c r="BS17" s="561">
        <v>120050870</v>
      </c>
    </row>
    <row r="18" spans="1:71">
      <c r="A18" s="556"/>
      <c r="B18" s="541" t="s">
        <v>334</v>
      </c>
      <c r="C18" s="558" t="s">
        <v>248</v>
      </c>
      <c r="D18" s="559">
        <v>9291.84</v>
      </c>
      <c r="E18" s="560">
        <v>0</v>
      </c>
      <c r="F18" s="560">
        <v>0</v>
      </c>
      <c r="G18" s="560">
        <v>231359</v>
      </c>
      <c r="H18" s="560">
        <v>245477</v>
      </c>
      <c r="I18" s="560">
        <v>153314</v>
      </c>
      <c r="J18" s="560">
        <v>286019</v>
      </c>
      <c r="K18" s="560">
        <v>165330</v>
      </c>
      <c r="L18" s="560">
        <v>249324</v>
      </c>
      <c r="M18" s="560">
        <v>226699.89999999997</v>
      </c>
      <c r="N18" s="560">
        <v>1257630</v>
      </c>
      <c r="O18" s="560">
        <v>179362.47000000009</v>
      </c>
      <c r="P18" s="560">
        <f t="shared" si="0"/>
        <v>1839270.79</v>
      </c>
      <c r="Q18" s="561">
        <f>4751886+91192</f>
        <v>4843078</v>
      </c>
      <c r="R18" s="559">
        <v>53078</v>
      </c>
      <c r="S18" s="560">
        <f>3465367-415753</f>
        <v>3049614</v>
      </c>
      <c r="T18" s="560">
        <v>617731</v>
      </c>
      <c r="U18" s="560">
        <v>3857296</v>
      </c>
      <c r="V18" s="560">
        <v>550290</v>
      </c>
      <c r="W18" s="560">
        <v>373490</v>
      </c>
      <c r="X18" s="560">
        <v>1057400</v>
      </c>
      <c r="Y18" s="560">
        <v>2221164</v>
      </c>
      <c r="Z18" s="560">
        <v>3216368.1500000008</v>
      </c>
      <c r="AA18" s="560">
        <v>4068165</v>
      </c>
      <c r="AB18" s="560">
        <v>2188573</v>
      </c>
      <c r="AC18" s="560">
        <f>16751421-3284676</f>
        <v>13466745</v>
      </c>
      <c r="AD18" s="560">
        <f t="shared" si="1"/>
        <v>14635037.850000001</v>
      </c>
      <c r="AE18" s="561">
        <v>49354952</v>
      </c>
      <c r="AF18" s="559">
        <v>42800</v>
      </c>
      <c r="AG18" s="560">
        <v>4531808</v>
      </c>
      <c r="AH18" s="560">
        <v>4530827</v>
      </c>
      <c r="AI18" s="560">
        <v>4543493</v>
      </c>
      <c r="AJ18" s="560">
        <v>4559534</v>
      </c>
      <c r="AK18" s="560">
        <v>4510601</v>
      </c>
      <c r="AL18" s="560">
        <v>4487014.5500000007</v>
      </c>
      <c r="AM18" s="560">
        <v>5658635.9699999988</v>
      </c>
      <c r="AN18" s="560">
        <v>4546299.8899999969</v>
      </c>
      <c r="AO18" s="560">
        <v>4564599</v>
      </c>
      <c r="AP18" s="560">
        <v>4587267</v>
      </c>
      <c r="AQ18" s="560">
        <f>4207043.63+142239</f>
        <v>4349282.63</v>
      </c>
      <c r="AR18" s="560">
        <f t="shared" si="2"/>
        <v>2388398.9600000009</v>
      </c>
      <c r="AS18" s="561">
        <f>53294648+5913</f>
        <v>53300561</v>
      </c>
      <c r="AT18" s="559">
        <v>2800419</v>
      </c>
      <c r="AU18" s="560">
        <f>4372292+2729724</f>
        <v>7102016</v>
      </c>
      <c r="AV18" s="560">
        <f>12244999-1585850</f>
        <v>10659149</v>
      </c>
      <c r="AW18" s="560">
        <f>7298735+248593</f>
        <v>7547328</v>
      </c>
      <c r="AX18" s="560">
        <v>4622341</v>
      </c>
      <c r="AY18" s="560">
        <v>4493835.5700000022</v>
      </c>
      <c r="AZ18" s="560">
        <f t="shared" si="5"/>
        <v>8408297.5716666672</v>
      </c>
      <c r="BA18" s="560">
        <f t="shared" si="3"/>
        <v>8408297.5716666672</v>
      </c>
      <c r="BB18" s="560">
        <f t="shared" si="3"/>
        <v>8408297.5716666672</v>
      </c>
      <c r="BC18" s="560">
        <f t="shared" si="3"/>
        <v>8408297.5716666672</v>
      </c>
      <c r="BD18" s="560">
        <f t="shared" si="3"/>
        <v>8408297.5716666672</v>
      </c>
      <c r="BE18" s="560">
        <f t="shared" si="3"/>
        <v>8408297.5716666672</v>
      </c>
      <c r="BF18" s="561">
        <v>87674874</v>
      </c>
      <c r="BG18" s="559">
        <f t="shared" si="6"/>
        <v>6679804</v>
      </c>
      <c r="BH18" s="560">
        <f t="shared" si="7"/>
        <v>6679804</v>
      </c>
      <c r="BI18" s="560">
        <f t="shared" si="7"/>
        <v>6679804</v>
      </c>
      <c r="BJ18" s="560">
        <f t="shared" si="7"/>
        <v>6679804</v>
      </c>
      <c r="BK18" s="560">
        <f t="shared" si="7"/>
        <v>6679804</v>
      </c>
      <c r="BL18" s="560">
        <f t="shared" si="7"/>
        <v>6679804</v>
      </c>
      <c r="BM18" s="560">
        <f t="shared" si="7"/>
        <v>6679804</v>
      </c>
      <c r="BN18" s="560">
        <f t="shared" si="7"/>
        <v>6679804</v>
      </c>
      <c r="BO18" s="560">
        <f t="shared" si="7"/>
        <v>6679804</v>
      </c>
      <c r="BP18" s="560">
        <f t="shared" si="7"/>
        <v>6679804</v>
      </c>
      <c r="BQ18" s="560">
        <f t="shared" si="7"/>
        <v>6679804</v>
      </c>
      <c r="BR18" s="560">
        <f t="shared" si="7"/>
        <v>6679804</v>
      </c>
      <c r="BS18" s="561">
        <v>80157648</v>
      </c>
    </row>
    <row r="19" spans="1:71">
      <c r="A19" s="556"/>
      <c r="B19" s="541" t="s">
        <v>335</v>
      </c>
      <c r="C19" s="558" t="s">
        <v>336</v>
      </c>
      <c r="D19" s="559">
        <v>320.07</v>
      </c>
      <c r="E19" s="560">
        <v>0</v>
      </c>
      <c r="F19" s="560">
        <v>0</v>
      </c>
      <c r="G19" s="560">
        <v>10415</v>
      </c>
      <c r="H19" s="560">
        <v>14232</v>
      </c>
      <c r="I19" s="560">
        <v>15717</v>
      </c>
      <c r="J19" s="560">
        <v>17080</v>
      </c>
      <c r="K19" s="560">
        <v>16337</v>
      </c>
      <c r="L19" s="560">
        <v>18579</v>
      </c>
      <c r="M19" s="560">
        <v>17162.260000000002</v>
      </c>
      <c r="N19" s="560">
        <v>21298</v>
      </c>
      <c r="O19" s="560">
        <v>22346.599999999984</v>
      </c>
      <c r="P19" s="560">
        <f t="shared" si="0"/>
        <v>129721.07</v>
      </c>
      <c r="Q19" s="561">
        <v>283208</v>
      </c>
      <c r="R19" s="559">
        <v>116</v>
      </c>
      <c r="S19" s="560">
        <v>11635</v>
      </c>
      <c r="T19" s="560">
        <v>17005</v>
      </c>
      <c r="U19" s="560">
        <v>13900</v>
      </c>
      <c r="V19" s="560">
        <v>14633</v>
      </c>
      <c r="W19" s="560">
        <v>17077</v>
      </c>
      <c r="X19" s="560">
        <v>20234</v>
      </c>
      <c r="Y19" s="560">
        <v>15175</v>
      </c>
      <c r="Z19" s="560">
        <v>7083.8200000000024</v>
      </c>
      <c r="AA19" s="560">
        <v>8170</v>
      </c>
      <c r="AB19" s="560">
        <v>11393</v>
      </c>
      <c r="AC19" s="560">
        <v>7649</v>
      </c>
      <c r="AD19" s="560">
        <f t="shared" si="1"/>
        <v>31072.179999999993</v>
      </c>
      <c r="AE19" s="561">
        <v>175143</v>
      </c>
      <c r="AF19" s="559">
        <v>1187</v>
      </c>
      <c r="AG19" s="560">
        <v>0</v>
      </c>
      <c r="AH19" s="560">
        <v>12989</v>
      </c>
      <c r="AI19" s="560">
        <v>16822</v>
      </c>
      <c r="AJ19" s="560">
        <v>13360</v>
      </c>
      <c r="AK19" s="560">
        <v>10379</v>
      </c>
      <c r="AL19" s="560">
        <v>20695.18</v>
      </c>
      <c r="AM19" s="560">
        <v>23222.590000000011</v>
      </c>
      <c r="AN19" s="560">
        <v>31279.599999999966</v>
      </c>
      <c r="AO19" s="560">
        <v>36811</v>
      </c>
      <c r="AP19" s="560">
        <v>49746</v>
      </c>
      <c r="AQ19" s="560">
        <v>24278.139999999996</v>
      </c>
      <c r="AR19" s="560">
        <f t="shared" si="2"/>
        <v>-31800.509999999951</v>
      </c>
      <c r="AS19" s="561">
        <v>208969</v>
      </c>
      <c r="AT19" s="559">
        <v>3785</v>
      </c>
      <c r="AU19" s="560">
        <v>37377</v>
      </c>
      <c r="AV19" s="560">
        <v>28705</v>
      </c>
      <c r="AW19" s="560">
        <v>53460.819999999971</v>
      </c>
      <c r="AX19" s="560">
        <v>46236</v>
      </c>
      <c r="AY19" s="560">
        <v>23216.479999999992</v>
      </c>
      <c r="AZ19" s="560">
        <f t="shared" si="5"/>
        <v>19691.616666666672</v>
      </c>
      <c r="BA19" s="560">
        <f t="shared" si="3"/>
        <v>19691.616666666672</v>
      </c>
      <c r="BB19" s="560">
        <f t="shared" si="3"/>
        <v>19691.616666666672</v>
      </c>
      <c r="BC19" s="560">
        <f t="shared" si="3"/>
        <v>19691.616666666672</v>
      </c>
      <c r="BD19" s="560">
        <f t="shared" si="3"/>
        <v>19691.616666666672</v>
      </c>
      <c r="BE19" s="560">
        <f t="shared" si="3"/>
        <v>19691.616666666672</v>
      </c>
      <c r="BF19" s="561">
        <v>310930</v>
      </c>
      <c r="BG19" s="559">
        <f t="shared" si="6"/>
        <v>14596.416666666666</v>
      </c>
      <c r="BH19" s="560">
        <f t="shared" si="7"/>
        <v>14596.416666666666</v>
      </c>
      <c r="BI19" s="560">
        <f t="shared" si="7"/>
        <v>14596.416666666666</v>
      </c>
      <c r="BJ19" s="560">
        <f t="shared" si="7"/>
        <v>14596.416666666666</v>
      </c>
      <c r="BK19" s="560">
        <f t="shared" si="7"/>
        <v>14596.416666666666</v>
      </c>
      <c r="BL19" s="560">
        <f t="shared" si="7"/>
        <v>14596.416666666666</v>
      </c>
      <c r="BM19" s="560">
        <f t="shared" si="7"/>
        <v>14596.416666666666</v>
      </c>
      <c r="BN19" s="560">
        <f t="shared" si="7"/>
        <v>14596.416666666666</v>
      </c>
      <c r="BO19" s="560">
        <f t="shared" si="7"/>
        <v>14596.416666666666</v>
      </c>
      <c r="BP19" s="560">
        <f t="shared" si="7"/>
        <v>14596.416666666666</v>
      </c>
      <c r="BQ19" s="560">
        <f t="shared" si="7"/>
        <v>14596.416666666666</v>
      </c>
      <c r="BR19" s="560">
        <f t="shared" si="7"/>
        <v>14596.416666666666</v>
      </c>
      <c r="BS19" s="561">
        <v>175157</v>
      </c>
    </row>
    <row r="20" spans="1:71">
      <c r="A20" s="556"/>
      <c r="B20" s="541" t="s">
        <v>337</v>
      </c>
      <c r="C20" s="558" t="s">
        <v>250</v>
      </c>
      <c r="D20" s="559">
        <v>0</v>
      </c>
      <c r="E20" s="560">
        <v>0</v>
      </c>
      <c r="F20" s="560">
        <v>0</v>
      </c>
      <c r="G20" s="560">
        <v>0</v>
      </c>
      <c r="H20" s="560">
        <v>0</v>
      </c>
      <c r="I20" s="560">
        <v>0</v>
      </c>
      <c r="J20" s="560">
        <v>0</v>
      </c>
      <c r="K20" s="560">
        <v>0</v>
      </c>
      <c r="L20" s="560">
        <v>0</v>
      </c>
      <c r="M20" s="560">
        <v>0</v>
      </c>
      <c r="N20" s="560">
        <v>0</v>
      </c>
      <c r="O20" s="560">
        <v>0</v>
      </c>
      <c r="P20" s="560">
        <f t="shared" si="0"/>
        <v>8384.5658546489522</v>
      </c>
      <c r="Q20" s="561">
        <v>8384.5658546489522</v>
      </c>
      <c r="R20" s="559">
        <v>0</v>
      </c>
      <c r="S20" s="560">
        <v>0</v>
      </c>
      <c r="T20" s="560">
        <v>0</v>
      </c>
      <c r="U20" s="560">
        <v>0</v>
      </c>
      <c r="V20" s="560">
        <v>0</v>
      </c>
      <c r="W20" s="560">
        <v>0</v>
      </c>
      <c r="X20" s="560">
        <v>0</v>
      </c>
      <c r="Y20" s="560">
        <v>0</v>
      </c>
      <c r="Z20" s="560">
        <v>0</v>
      </c>
      <c r="AA20" s="560">
        <v>0</v>
      </c>
      <c r="AB20" s="560">
        <v>0</v>
      </c>
      <c r="AC20" s="560">
        <v>0</v>
      </c>
      <c r="AD20" s="560">
        <f t="shared" si="1"/>
        <v>8792</v>
      </c>
      <c r="AE20" s="561">
        <v>8792</v>
      </c>
      <c r="AF20" s="559">
        <v>0</v>
      </c>
      <c r="AG20" s="560">
        <v>11014</v>
      </c>
      <c r="AH20" s="560">
        <v>0</v>
      </c>
      <c r="AI20" s="560">
        <v>0</v>
      </c>
      <c r="AJ20" s="560">
        <v>0</v>
      </c>
      <c r="AK20" s="560">
        <v>0</v>
      </c>
      <c r="AL20" s="560">
        <v>0</v>
      </c>
      <c r="AM20" s="560">
        <v>0</v>
      </c>
      <c r="AN20" s="560">
        <v>0</v>
      </c>
      <c r="AO20" s="560">
        <v>0</v>
      </c>
      <c r="AP20" s="560">
        <v>0</v>
      </c>
      <c r="AQ20" s="560">
        <v>0</v>
      </c>
      <c r="AR20" s="560">
        <v>-2221</v>
      </c>
      <c r="AS20" s="561">
        <v>8792</v>
      </c>
      <c r="AT20" s="559">
        <v>0</v>
      </c>
      <c r="AU20" s="560">
        <v>0</v>
      </c>
      <c r="AV20" s="560">
        <v>0</v>
      </c>
      <c r="AW20" s="560">
        <v>0</v>
      </c>
      <c r="AX20" s="560">
        <v>0</v>
      </c>
      <c r="AY20" s="560">
        <v>0</v>
      </c>
      <c r="AZ20" s="560">
        <f t="shared" si="5"/>
        <v>1465.3333333333333</v>
      </c>
      <c r="BA20" s="560">
        <f t="shared" si="3"/>
        <v>1465.3333333333333</v>
      </c>
      <c r="BB20" s="560">
        <f t="shared" si="3"/>
        <v>1465.3333333333333</v>
      </c>
      <c r="BC20" s="560">
        <f t="shared" si="3"/>
        <v>1465.3333333333333</v>
      </c>
      <c r="BD20" s="560">
        <f t="shared" si="3"/>
        <v>1465.3333333333333</v>
      </c>
      <c r="BE20" s="560">
        <f t="shared" si="3"/>
        <v>1465.3333333333333</v>
      </c>
      <c r="BF20" s="561">
        <v>8792</v>
      </c>
      <c r="BG20" s="559">
        <f t="shared" si="6"/>
        <v>732.66666666666663</v>
      </c>
      <c r="BH20" s="560">
        <f t="shared" si="7"/>
        <v>732.66666666666663</v>
      </c>
      <c r="BI20" s="560">
        <f t="shared" si="7"/>
        <v>732.66666666666663</v>
      </c>
      <c r="BJ20" s="560">
        <f t="shared" si="7"/>
        <v>732.66666666666663</v>
      </c>
      <c r="BK20" s="560">
        <f t="shared" si="7"/>
        <v>732.66666666666663</v>
      </c>
      <c r="BL20" s="560">
        <f t="shared" si="7"/>
        <v>732.66666666666663</v>
      </c>
      <c r="BM20" s="560">
        <f t="shared" si="7"/>
        <v>732.66666666666663</v>
      </c>
      <c r="BN20" s="560">
        <f t="shared" si="7"/>
        <v>732.66666666666663</v>
      </c>
      <c r="BO20" s="560">
        <f t="shared" si="7"/>
        <v>732.66666666666663</v>
      </c>
      <c r="BP20" s="560">
        <f t="shared" si="7"/>
        <v>732.66666666666663</v>
      </c>
      <c r="BQ20" s="560">
        <f t="shared" si="7"/>
        <v>732.66666666666663</v>
      </c>
      <c r="BR20" s="560">
        <f t="shared" si="7"/>
        <v>732.66666666666663</v>
      </c>
      <c r="BS20" s="561">
        <v>8792</v>
      </c>
    </row>
    <row r="21" spans="1:71" s="541" customFormat="1" ht="16.8" thickBot="1">
      <c r="A21" s="566"/>
      <c r="B21" s="567" t="s">
        <v>152</v>
      </c>
      <c r="C21" s="568"/>
      <c r="D21" s="569">
        <v>44639864.280000009</v>
      </c>
      <c r="E21" s="570">
        <v>50396468.744108662</v>
      </c>
      <c r="F21" s="570">
        <v>51334903</v>
      </c>
      <c r="G21" s="570">
        <v>51238605</v>
      </c>
      <c r="H21" s="570">
        <v>51995958</v>
      </c>
      <c r="I21" s="570">
        <v>52555951</v>
      </c>
      <c r="J21" s="570">
        <v>53370865</v>
      </c>
      <c r="K21" s="570">
        <f t="shared" ref="K21:O21" si="24">SUM(K8:K20)</f>
        <v>53008374</v>
      </c>
      <c r="L21" s="570">
        <f t="shared" si="24"/>
        <v>105143347</v>
      </c>
      <c r="M21" s="570">
        <f t="shared" si="24"/>
        <v>53811113.743485972</v>
      </c>
      <c r="N21" s="570">
        <f t="shared" si="24"/>
        <v>71901693</v>
      </c>
      <c r="O21" s="570">
        <f t="shared" si="24"/>
        <v>68641861.986722246</v>
      </c>
      <c r="P21" s="570">
        <f t="shared" si="0"/>
        <v>22872820.009937048</v>
      </c>
      <c r="Q21" s="570">
        <f t="shared" ref="Q21:AS21" si="25">SUM(Q8:Q20)</f>
        <v>730911824.76425385</v>
      </c>
      <c r="R21" s="569">
        <f t="shared" si="25"/>
        <v>52015259</v>
      </c>
      <c r="S21" s="570">
        <f>SUM(S8:S20)</f>
        <v>54804973</v>
      </c>
      <c r="T21" s="570">
        <f t="shared" si="25"/>
        <v>48450197</v>
      </c>
      <c r="U21" s="570">
        <f t="shared" si="25"/>
        <v>56443804</v>
      </c>
      <c r="V21" s="570">
        <f t="shared" si="25"/>
        <v>54355446</v>
      </c>
      <c r="W21" s="570">
        <f t="shared" si="25"/>
        <v>92054183</v>
      </c>
      <c r="X21" s="570">
        <f t="shared" si="25"/>
        <v>62445263</v>
      </c>
      <c r="Y21" s="570">
        <f t="shared" si="25"/>
        <v>65862361.768239997</v>
      </c>
      <c r="Z21" s="570">
        <f t="shared" si="25"/>
        <v>58042744.928928167</v>
      </c>
      <c r="AA21" s="570">
        <f t="shared" si="25"/>
        <v>69876613</v>
      </c>
      <c r="AB21" s="570">
        <f t="shared" si="25"/>
        <v>61338822</v>
      </c>
      <c r="AC21" s="570">
        <f t="shared" si="25"/>
        <v>67384296.310000002</v>
      </c>
      <c r="AD21" s="570">
        <f>SUM(AD8:AD20)</f>
        <v>37814864.992831856</v>
      </c>
      <c r="AE21" s="570">
        <f>SUM(AE8:AE20)</f>
        <v>780888828</v>
      </c>
      <c r="AF21" s="569">
        <f t="shared" si="25"/>
        <v>47087143</v>
      </c>
      <c r="AG21" s="570">
        <f t="shared" si="25"/>
        <v>56365474</v>
      </c>
      <c r="AH21" s="570">
        <f t="shared" si="25"/>
        <v>56921902</v>
      </c>
      <c r="AI21" s="570">
        <f t="shared" si="25"/>
        <v>68187357</v>
      </c>
      <c r="AJ21" s="570">
        <f t="shared" si="25"/>
        <v>53861735</v>
      </c>
      <c r="AK21" s="570">
        <f t="shared" si="25"/>
        <v>56524849</v>
      </c>
      <c r="AL21" s="570">
        <f t="shared" si="25"/>
        <v>55709038.155683048</v>
      </c>
      <c r="AM21" s="570">
        <f t="shared" si="25"/>
        <v>58684222.560000002</v>
      </c>
      <c r="AN21" s="570">
        <f t="shared" si="25"/>
        <v>128045769.3925401</v>
      </c>
      <c r="AO21" s="570">
        <f t="shared" si="25"/>
        <v>66965060</v>
      </c>
      <c r="AP21" s="570">
        <f t="shared" si="25"/>
        <v>58016481</v>
      </c>
      <c r="AQ21" s="570">
        <f t="shared" si="25"/>
        <v>61056825.963595934</v>
      </c>
      <c r="AR21" s="570">
        <f t="shared" si="25"/>
        <v>40128311.928180858</v>
      </c>
      <c r="AS21" s="570">
        <f t="shared" si="25"/>
        <v>807554168</v>
      </c>
      <c r="AT21" s="569">
        <v>48054661</v>
      </c>
      <c r="AU21" s="570">
        <f>SUM(AU8:AU20)</f>
        <v>60831526</v>
      </c>
      <c r="AV21" s="570">
        <f>SUM(AV8:AV20)</f>
        <v>65321288</v>
      </c>
      <c r="AW21" s="570">
        <f>SUM(AW8:AW20)</f>
        <v>63403675.064134941</v>
      </c>
      <c r="AX21" s="570">
        <f>SUM(AX8:AX20)</f>
        <v>62490555.643344</v>
      </c>
      <c r="AY21" s="570">
        <f>SUM(AY8:AY20)</f>
        <v>60290410.202619977</v>
      </c>
      <c r="AZ21" s="570">
        <f t="shared" si="5"/>
        <v>77702428.772595748</v>
      </c>
      <c r="BA21" s="570">
        <f t="shared" si="3"/>
        <v>77702428.772595748</v>
      </c>
      <c r="BB21" s="570">
        <f t="shared" si="3"/>
        <v>77702428.772595748</v>
      </c>
      <c r="BC21" s="570">
        <f t="shared" si="3"/>
        <v>77702428.772595748</v>
      </c>
      <c r="BD21" s="570">
        <f t="shared" si="3"/>
        <v>77702428.772595748</v>
      </c>
      <c r="BE21" s="570">
        <f>SUM(BE8:BE20)</f>
        <v>77702428.772595748</v>
      </c>
      <c r="BF21" s="570">
        <f t="shared" ref="BF21:BG21" si="26">SUM(BF8:BF20)</f>
        <v>826606688.54567337</v>
      </c>
      <c r="BG21" s="569">
        <f t="shared" si="26"/>
        <v>70751179.833333343</v>
      </c>
      <c r="BH21" s="570">
        <f t="shared" si="7"/>
        <v>70751179.833333343</v>
      </c>
      <c r="BI21" s="570">
        <f t="shared" si="7"/>
        <v>70751179.833333343</v>
      </c>
      <c r="BJ21" s="570">
        <f t="shared" si="7"/>
        <v>70751179.833333343</v>
      </c>
      <c r="BK21" s="570">
        <f t="shared" si="7"/>
        <v>70751179.833333343</v>
      </c>
      <c r="BL21" s="570">
        <f t="shared" si="7"/>
        <v>70751179.833333343</v>
      </c>
      <c r="BM21" s="570">
        <f t="shared" si="7"/>
        <v>70751179.833333343</v>
      </c>
      <c r="BN21" s="570">
        <f t="shared" si="7"/>
        <v>70751179.833333343</v>
      </c>
      <c r="BO21" s="570">
        <f t="shared" si="7"/>
        <v>70751179.833333343</v>
      </c>
      <c r="BP21" s="570">
        <f t="shared" si="7"/>
        <v>70751179.833333343</v>
      </c>
      <c r="BQ21" s="570">
        <f t="shared" si="7"/>
        <v>70751179.833333343</v>
      </c>
      <c r="BR21" s="570">
        <f t="shared" si="7"/>
        <v>70751179.833333343</v>
      </c>
      <c r="BS21" s="570">
        <f>SUM(BS8:BS20)</f>
        <v>849014158</v>
      </c>
    </row>
    <row r="22" spans="1:71" s="541" customFormat="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f t="shared" si="19"/>
        <v>0</v>
      </c>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row>
    <row r="23" spans="1:71" s="541" customFormat="1" ht="16.8" thickBot="1">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f t="shared" si="19"/>
        <v>0</v>
      </c>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row>
    <row r="24" spans="1:71" s="541" customFormat="1" ht="16.8" thickBot="1">
      <c r="D24" s="547" t="s">
        <v>307</v>
      </c>
      <c r="E24" s="573"/>
      <c r="F24" s="573"/>
      <c r="G24" s="573"/>
      <c r="H24" s="573"/>
      <c r="I24" s="573"/>
      <c r="J24" s="548"/>
      <c r="K24" s="573"/>
      <c r="L24" s="573"/>
      <c r="M24" s="573"/>
      <c r="N24" s="573"/>
      <c r="O24" s="573"/>
      <c r="P24" s="573"/>
      <c r="Q24" s="574"/>
      <c r="R24" s="547" t="s">
        <v>385</v>
      </c>
      <c r="S24" s="573"/>
      <c r="T24" s="573"/>
      <c r="U24" s="573"/>
      <c r="V24" s="573"/>
      <c r="W24" s="573"/>
      <c r="X24" s="548"/>
      <c r="Y24" s="573"/>
      <c r="Z24" s="573"/>
      <c r="AA24" s="573"/>
      <c r="AB24" s="573"/>
      <c r="AC24" s="573"/>
      <c r="AD24" s="573"/>
      <c r="AE24" s="574"/>
      <c r="AF24" s="547" t="s">
        <v>390</v>
      </c>
      <c r="AG24" s="548"/>
      <c r="AH24" s="548"/>
      <c r="AI24" s="548"/>
      <c r="AJ24" s="548"/>
      <c r="AK24" s="548"/>
      <c r="AL24" s="548"/>
      <c r="AM24" s="548"/>
      <c r="AN24" s="548"/>
      <c r="AO24" s="548"/>
      <c r="AP24" s="548"/>
      <c r="AQ24" s="548"/>
      <c r="AR24" s="573"/>
      <c r="AS24" s="574"/>
      <c r="AT24" s="547" t="s">
        <v>559</v>
      </c>
      <c r="AU24" s="573"/>
      <c r="AV24" s="573"/>
      <c r="AW24" s="573"/>
      <c r="AX24" s="573"/>
      <c r="AY24" s="573"/>
      <c r="AZ24" s="548"/>
      <c r="BA24" s="573"/>
      <c r="BB24" s="573"/>
      <c r="BC24" s="573"/>
      <c r="BD24" s="573"/>
      <c r="BE24" s="573"/>
      <c r="BF24" s="574"/>
      <c r="BG24" s="547" t="s">
        <v>560</v>
      </c>
      <c r="BH24" s="573"/>
      <c r="BI24" s="573"/>
      <c r="BJ24" s="573"/>
      <c r="BK24" s="573"/>
      <c r="BL24" s="573"/>
      <c r="BM24" s="548"/>
      <c r="BN24" s="573"/>
      <c r="BO24" s="573"/>
      <c r="BP24" s="573"/>
      <c r="BQ24" s="573"/>
      <c r="BR24" s="573"/>
      <c r="BS24" s="574"/>
    </row>
    <row r="25" spans="1:71" s="541" customFormat="1">
      <c r="A25" s="575" t="s">
        <v>338</v>
      </c>
      <c r="B25" s="551" t="s">
        <v>51</v>
      </c>
      <c r="C25" s="552" t="s">
        <v>309</v>
      </c>
      <c r="D25" s="576" t="s">
        <v>310</v>
      </c>
      <c r="E25" s="577" t="s">
        <v>311</v>
      </c>
      <c r="F25" s="577" t="s">
        <v>312</v>
      </c>
      <c r="G25" s="577" t="s">
        <v>313</v>
      </c>
      <c r="H25" s="577" t="s">
        <v>314</v>
      </c>
      <c r="I25" s="577" t="s">
        <v>315</v>
      </c>
      <c r="J25" s="577" t="s">
        <v>316</v>
      </c>
      <c r="K25" s="577" t="s">
        <v>317</v>
      </c>
      <c r="L25" s="577" t="s">
        <v>318</v>
      </c>
      <c r="M25" s="577" t="s">
        <v>319</v>
      </c>
      <c r="N25" s="577" t="s">
        <v>320</v>
      </c>
      <c r="O25" s="577" t="s">
        <v>321</v>
      </c>
      <c r="P25" s="577" t="s">
        <v>373</v>
      </c>
      <c r="Q25" s="555" t="s">
        <v>322</v>
      </c>
      <c r="R25" s="576" t="s">
        <v>310</v>
      </c>
      <c r="S25" s="577" t="s">
        <v>311</v>
      </c>
      <c r="T25" s="577" t="s">
        <v>312</v>
      </c>
      <c r="U25" s="577" t="s">
        <v>313</v>
      </c>
      <c r="V25" s="577" t="s">
        <v>314</v>
      </c>
      <c r="W25" s="577" t="s">
        <v>315</v>
      </c>
      <c r="X25" s="577" t="s">
        <v>316</v>
      </c>
      <c r="Y25" s="577" t="s">
        <v>317</v>
      </c>
      <c r="Z25" s="577" t="s">
        <v>318</v>
      </c>
      <c r="AA25" s="577" t="s">
        <v>319</v>
      </c>
      <c r="AB25" s="577" t="s">
        <v>320</v>
      </c>
      <c r="AC25" s="577" t="s">
        <v>321</v>
      </c>
      <c r="AD25" s="577" t="s">
        <v>456</v>
      </c>
      <c r="AE25" s="555" t="s">
        <v>384</v>
      </c>
      <c r="AF25" s="576" t="s">
        <v>310</v>
      </c>
      <c r="AG25" s="577" t="s">
        <v>311</v>
      </c>
      <c r="AH25" s="577" t="s">
        <v>312</v>
      </c>
      <c r="AI25" s="577" t="s">
        <v>313</v>
      </c>
      <c r="AJ25" s="577" t="s">
        <v>314</v>
      </c>
      <c r="AK25" s="577" t="s">
        <v>315</v>
      </c>
      <c r="AL25" s="577" t="s">
        <v>316</v>
      </c>
      <c r="AM25" s="577" t="s">
        <v>317</v>
      </c>
      <c r="AN25" s="577" t="s">
        <v>318</v>
      </c>
      <c r="AO25" s="577" t="s">
        <v>319</v>
      </c>
      <c r="AP25" s="577" t="s">
        <v>320</v>
      </c>
      <c r="AQ25" s="577" t="s">
        <v>321</v>
      </c>
      <c r="AR25" s="577" t="s">
        <v>493</v>
      </c>
      <c r="AS25" s="555" t="s">
        <v>391</v>
      </c>
      <c r="AT25" s="576" t="s">
        <v>310</v>
      </c>
      <c r="AU25" s="577" t="s">
        <v>311</v>
      </c>
      <c r="AV25" s="577" t="s">
        <v>312</v>
      </c>
      <c r="AW25" s="577" t="s">
        <v>313</v>
      </c>
      <c r="AX25" s="577" t="s">
        <v>314</v>
      </c>
      <c r="AY25" s="577" t="s">
        <v>315</v>
      </c>
      <c r="AZ25" s="577" t="s">
        <v>316</v>
      </c>
      <c r="BA25" s="577" t="s">
        <v>317</v>
      </c>
      <c r="BB25" s="577" t="s">
        <v>318</v>
      </c>
      <c r="BC25" s="577" t="s">
        <v>319</v>
      </c>
      <c r="BD25" s="577" t="s">
        <v>320</v>
      </c>
      <c r="BE25" s="577" t="s">
        <v>321</v>
      </c>
      <c r="BF25" s="555" t="s">
        <v>561</v>
      </c>
      <c r="BG25" s="576" t="s">
        <v>310</v>
      </c>
      <c r="BH25" s="577" t="s">
        <v>311</v>
      </c>
      <c r="BI25" s="577" t="s">
        <v>312</v>
      </c>
      <c r="BJ25" s="577" t="s">
        <v>313</v>
      </c>
      <c r="BK25" s="577" t="s">
        <v>314</v>
      </c>
      <c r="BL25" s="577" t="s">
        <v>315</v>
      </c>
      <c r="BM25" s="577" t="s">
        <v>316</v>
      </c>
      <c r="BN25" s="577" t="s">
        <v>317</v>
      </c>
      <c r="BO25" s="577" t="s">
        <v>318</v>
      </c>
      <c r="BP25" s="577" t="s">
        <v>319</v>
      </c>
      <c r="BQ25" s="577" t="s">
        <v>320</v>
      </c>
      <c r="BR25" s="577" t="s">
        <v>321</v>
      </c>
      <c r="BS25" s="555" t="s">
        <v>562</v>
      </c>
    </row>
    <row r="26" spans="1:71" ht="15" customHeight="1">
      <c r="A26" s="556" t="s">
        <v>4</v>
      </c>
      <c r="B26" s="541" t="s">
        <v>53</v>
      </c>
      <c r="C26" s="558" t="s">
        <v>52</v>
      </c>
      <c r="D26" s="559">
        <v>39427816.700000003</v>
      </c>
      <c r="E26" s="560">
        <v>9741068.0899999999</v>
      </c>
      <c r="F26" s="560">
        <v>7953981</v>
      </c>
      <c r="G26" s="560">
        <v>8188232</v>
      </c>
      <c r="H26" s="560">
        <v>7841839</v>
      </c>
      <c r="I26" s="560">
        <v>19461059</v>
      </c>
      <c r="J26" s="560">
        <v>20316292</v>
      </c>
      <c r="K26" s="560">
        <v>18664477</v>
      </c>
      <c r="L26" s="560">
        <v>64438990</v>
      </c>
      <c r="M26" s="560">
        <v>20034894</v>
      </c>
      <c r="N26" s="560">
        <v>59928514</v>
      </c>
      <c r="O26" s="560">
        <v>60102943</v>
      </c>
      <c r="P26" s="578">
        <f>Q26-(D26+E26+F26+G26+H26+I26+J26+K26+L26+M26+N26+O26)</f>
        <v>164643672.20999998</v>
      </c>
      <c r="Q26" s="579">
        <v>500743778</v>
      </c>
      <c r="R26" s="559">
        <v>46154932</v>
      </c>
      <c r="S26" s="560">
        <v>11826972</v>
      </c>
      <c r="T26" s="560">
        <v>1184640</v>
      </c>
      <c r="U26" s="560">
        <f>8525840-346</f>
        <v>8525494</v>
      </c>
      <c r="V26" s="560">
        <v>18353556</v>
      </c>
      <c r="W26" s="560">
        <f>52629802+343</f>
        <v>52630145</v>
      </c>
      <c r="X26" s="560">
        <v>25692465</v>
      </c>
      <c r="Y26" s="560">
        <v>56417126</v>
      </c>
      <c r="Z26" s="560">
        <v>50795362</v>
      </c>
      <c r="AA26" s="560">
        <v>61017855</v>
      </c>
      <c r="AB26" s="560">
        <v>56412015</v>
      </c>
      <c r="AC26" s="560">
        <v>150877169</v>
      </c>
      <c r="AD26" s="560">
        <f t="shared" ref="AD26:AD49" si="27">AE26-(R26+S26+T26+U26+V26+W26+X26+Y26+Z26+AA26+AB26+AC26)</f>
        <v>-126860165</v>
      </c>
      <c r="AE26" s="579">
        <v>413027566</v>
      </c>
      <c r="AF26" s="559">
        <v>41908654</v>
      </c>
      <c r="AG26" s="560">
        <v>10053770</v>
      </c>
      <c r="AH26" s="560">
        <v>7617116</v>
      </c>
      <c r="AI26" s="560">
        <v>8491236</v>
      </c>
      <c r="AJ26" s="560">
        <v>21849715</v>
      </c>
      <c r="AK26" s="560">
        <v>24466119</v>
      </c>
      <c r="AL26" s="560">
        <v>26153123.340000123</v>
      </c>
      <c r="AM26" s="560">
        <v>55637217</v>
      </c>
      <c r="AN26" s="560">
        <v>86337051</v>
      </c>
      <c r="AO26" s="560">
        <v>105793516.82999998</v>
      </c>
      <c r="AP26" s="560">
        <v>74302379</v>
      </c>
      <c r="AQ26" s="560">
        <v>-137681746.46999988</v>
      </c>
      <c r="AR26" s="560">
        <f t="shared" ref="AR26:AR50" si="28">AS26-(AF26+AG26+AH26+AI26+AJ26+AK26+AL26+AM26+AN26+AO26+AP26+AQ26)</f>
        <v>69062467.299999714</v>
      </c>
      <c r="AS26" s="579">
        <v>393990618</v>
      </c>
      <c r="AT26" s="559">
        <v>43116788</v>
      </c>
      <c r="AU26" s="560">
        <v>15459466</v>
      </c>
      <c r="AV26" s="560">
        <v>16193267</v>
      </c>
      <c r="AW26" s="560">
        <v>13516223</v>
      </c>
      <c r="AX26" s="560">
        <v>11338484</v>
      </c>
      <c r="AY26" s="560">
        <v>11111505.119999988</v>
      </c>
      <c r="AZ26" s="560">
        <f>(BF26-AT26-AU26-AV26-AW26-AX26-AY26)/6</f>
        <v>70360685.980000004</v>
      </c>
      <c r="BA26" s="560">
        <f t="shared" ref="BA26:BE41" si="29">AZ26</f>
        <v>70360685.980000004</v>
      </c>
      <c r="BB26" s="560">
        <f t="shared" si="29"/>
        <v>70360685.980000004</v>
      </c>
      <c r="BC26" s="560">
        <f t="shared" si="29"/>
        <v>70360685.980000004</v>
      </c>
      <c r="BD26" s="560">
        <f t="shared" si="29"/>
        <v>70360685.980000004</v>
      </c>
      <c r="BE26" s="560">
        <f t="shared" si="29"/>
        <v>70360685.980000004</v>
      </c>
      <c r="BF26" s="579">
        <v>532899849</v>
      </c>
      <c r="BG26" s="559">
        <f t="shared" ref="BG26:BG50" si="30">BS26/12</f>
        <v>49655294.083333336</v>
      </c>
      <c r="BH26" s="560">
        <f t="shared" ref="BH26:BR34" si="31">BG26</f>
        <v>49655294.083333336</v>
      </c>
      <c r="BI26" s="560">
        <f t="shared" si="31"/>
        <v>49655294.083333336</v>
      </c>
      <c r="BJ26" s="560">
        <f t="shared" si="31"/>
        <v>49655294.083333336</v>
      </c>
      <c r="BK26" s="560">
        <f t="shared" si="31"/>
        <v>49655294.083333336</v>
      </c>
      <c r="BL26" s="560">
        <f t="shared" si="31"/>
        <v>49655294.083333336</v>
      </c>
      <c r="BM26" s="560">
        <f t="shared" si="31"/>
        <v>49655294.083333336</v>
      </c>
      <c r="BN26" s="560">
        <f t="shared" si="31"/>
        <v>49655294.083333336</v>
      </c>
      <c r="BO26" s="560">
        <f t="shared" si="31"/>
        <v>49655294.083333336</v>
      </c>
      <c r="BP26" s="560">
        <f t="shared" si="31"/>
        <v>49655294.083333336</v>
      </c>
      <c r="BQ26" s="560">
        <f t="shared" si="31"/>
        <v>49655294.083333336</v>
      </c>
      <c r="BR26" s="560">
        <f t="shared" si="31"/>
        <v>49655294.083333336</v>
      </c>
      <c r="BS26" s="579">
        <v>595863529</v>
      </c>
    </row>
    <row r="27" spans="1:71" ht="15" customHeight="1">
      <c r="A27" s="556"/>
      <c r="B27" s="541" t="s">
        <v>55</v>
      </c>
      <c r="C27" s="558" t="s">
        <v>54</v>
      </c>
      <c r="D27" s="559">
        <v>434000.42000000004</v>
      </c>
      <c r="E27" s="560">
        <v>480786.03</v>
      </c>
      <c r="F27" s="560">
        <v>496943</v>
      </c>
      <c r="G27" s="560">
        <v>492199</v>
      </c>
      <c r="H27" s="560">
        <v>506624</v>
      </c>
      <c r="I27" s="560">
        <v>514985</v>
      </c>
      <c r="J27" s="560">
        <v>512174</v>
      </c>
      <c r="K27" s="560">
        <v>533275</v>
      </c>
      <c r="L27" s="560">
        <v>1090636</v>
      </c>
      <c r="M27" s="560">
        <v>522897</v>
      </c>
      <c r="N27" s="560">
        <v>476251</v>
      </c>
      <c r="O27" s="560">
        <v>685787</v>
      </c>
      <c r="P27" s="560">
        <f t="shared" ref="P27:P50" si="32">Q27-(D27+E27+F27+G27+H27+I27+J27+K27+L27+M27+N27+O27)</f>
        <v>446158.54999999981</v>
      </c>
      <c r="Q27" s="579">
        <v>7192716</v>
      </c>
      <c r="R27" s="559">
        <v>424171</v>
      </c>
      <c r="S27" s="560">
        <v>421377</v>
      </c>
      <c r="T27" s="560">
        <v>391640</v>
      </c>
      <c r="U27" s="560">
        <v>446433</v>
      </c>
      <c r="V27" s="560">
        <v>442984</v>
      </c>
      <c r="W27" s="560">
        <v>745393</v>
      </c>
      <c r="X27" s="560">
        <v>508483</v>
      </c>
      <c r="Y27" s="560">
        <v>527806</v>
      </c>
      <c r="Z27" s="560">
        <v>650347</v>
      </c>
      <c r="AA27" s="560">
        <v>563924</v>
      </c>
      <c r="AB27" s="560">
        <v>764642</v>
      </c>
      <c r="AC27" s="560">
        <v>527251</v>
      </c>
      <c r="AD27" s="560">
        <f t="shared" si="27"/>
        <v>-268850</v>
      </c>
      <c r="AE27" s="579">
        <v>6145601</v>
      </c>
      <c r="AF27" s="559">
        <v>453346</v>
      </c>
      <c r="AG27" s="560">
        <v>543709</v>
      </c>
      <c r="AH27" s="560">
        <v>547246</v>
      </c>
      <c r="AI27" s="560">
        <v>657034</v>
      </c>
      <c r="AJ27" s="560">
        <v>695751</v>
      </c>
      <c r="AK27" s="560">
        <v>551617</v>
      </c>
      <c r="AL27" s="560">
        <v>866583.63999999932</v>
      </c>
      <c r="AM27" s="560">
        <v>563425</v>
      </c>
      <c r="AN27" s="560">
        <v>1187747</v>
      </c>
      <c r="AO27" s="560">
        <v>651210</v>
      </c>
      <c r="AP27" s="560">
        <v>1136048</v>
      </c>
      <c r="AQ27" s="560">
        <v>595505.14000000025</v>
      </c>
      <c r="AR27" s="560">
        <f t="shared" si="28"/>
        <v>-625202.77999999933</v>
      </c>
      <c r="AS27" s="579">
        <v>7824019</v>
      </c>
      <c r="AT27" s="559">
        <v>578684</v>
      </c>
      <c r="AU27" s="560">
        <v>780745</v>
      </c>
      <c r="AV27" s="560">
        <v>738413</v>
      </c>
      <c r="AW27" s="560">
        <v>789743</v>
      </c>
      <c r="AX27" s="560">
        <v>794187</v>
      </c>
      <c r="AY27" s="560">
        <v>771264.69000000029</v>
      </c>
      <c r="AZ27" s="560">
        <f t="shared" ref="AZ27:AZ50" si="33">(BF27-AT27-AU27-AV27-AW27-AX27-AY27)/6</f>
        <v>956043.38499999989</v>
      </c>
      <c r="BA27" s="560">
        <f t="shared" si="29"/>
        <v>956043.38499999989</v>
      </c>
      <c r="BB27" s="560">
        <f t="shared" si="29"/>
        <v>956043.38499999989</v>
      </c>
      <c r="BC27" s="560">
        <f t="shared" si="29"/>
        <v>956043.38499999989</v>
      </c>
      <c r="BD27" s="560">
        <f t="shared" si="29"/>
        <v>956043.38499999989</v>
      </c>
      <c r="BE27" s="560">
        <f t="shared" si="29"/>
        <v>956043.38499999989</v>
      </c>
      <c r="BF27" s="579">
        <v>10189297</v>
      </c>
      <c r="BG27" s="559">
        <f t="shared" si="30"/>
        <v>815639</v>
      </c>
      <c r="BH27" s="560">
        <f t="shared" si="31"/>
        <v>815639</v>
      </c>
      <c r="BI27" s="560">
        <f t="shared" si="31"/>
        <v>815639</v>
      </c>
      <c r="BJ27" s="560">
        <f t="shared" si="31"/>
        <v>815639</v>
      </c>
      <c r="BK27" s="560">
        <f t="shared" si="31"/>
        <v>815639</v>
      </c>
      <c r="BL27" s="560">
        <f t="shared" si="31"/>
        <v>815639</v>
      </c>
      <c r="BM27" s="560">
        <f t="shared" si="31"/>
        <v>815639</v>
      </c>
      <c r="BN27" s="560">
        <f t="shared" si="31"/>
        <v>815639</v>
      </c>
      <c r="BO27" s="560">
        <f t="shared" si="31"/>
        <v>815639</v>
      </c>
      <c r="BP27" s="560">
        <f t="shared" si="31"/>
        <v>815639</v>
      </c>
      <c r="BQ27" s="560">
        <f t="shared" si="31"/>
        <v>815639</v>
      </c>
      <c r="BR27" s="560">
        <f t="shared" si="31"/>
        <v>815639</v>
      </c>
      <c r="BS27" s="579">
        <v>9787668</v>
      </c>
    </row>
    <row r="28" spans="1:71">
      <c r="A28" s="580" t="s">
        <v>339</v>
      </c>
      <c r="B28" s="607"/>
      <c r="C28" s="582"/>
      <c r="D28" s="583">
        <f>SUM(D26:D27)</f>
        <v>39861817.120000005</v>
      </c>
      <c r="E28" s="584">
        <f t="shared" ref="E28:O28" si="34">SUM(E26:E27)</f>
        <v>10221854.119999999</v>
      </c>
      <c r="F28" s="584">
        <f t="shared" si="34"/>
        <v>8450924</v>
      </c>
      <c r="G28" s="584">
        <f t="shared" si="34"/>
        <v>8680431</v>
      </c>
      <c r="H28" s="584">
        <f t="shared" si="34"/>
        <v>8348463</v>
      </c>
      <c r="I28" s="584">
        <f t="shared" si="34"/>
        <v>19976044</v>
      </c>
      <c r="J28" s="584">
        <f t="shared" si="34"/>
        <v>20828466</v>
      </c>
      <c r="K28" s="584">
        <f t="shared" si="34"/>
        <v>19197752</v>
      </c>
      <c r="L28" s="584">
        <f t="shared" si="34"/>
        <v>65529626</v>
      </c>
      <c r="M28" s="584">
        <f t="shared" si="34"/>
        <v>20557791</v>
      </c>
      <c r="N28" s="584">
        <f t="shared" si="34"/>
        <v>60404765</v>
      </c>
      <c r="O28" s="584">
        <f t="shared" si="34"/>
        <v>60788730</v>
      </c>
      <c r="P28" s="584">
        <f t="shared" si="32"/>
        <v>165089830.75999999</v>
      </c>
      <c r="Q28" s="579">
        <f>SUM(Q26:Q27)</f>
        <v>507936494</v>
      </c>
      <c r="R28" s="608">
        <f>SUM(R26:R27)</f>
        <v>46579103</v>
      </c>
      <c r="S28" s="608">
        <f>SUM(S26:S27)</f>
        <v>12248349</v>
      </c>
      <c r="T28" s="608">
        <f>SUM(T26:T27)</f>
        <v>1576280</v>
      </c>
      <c r="U28" s="608">
        <f>SUM(U26:U27)</f>
        <v>8971927</v>
      </c>
      <c r="V28" s="608">
        <f t="shared" ref="V28:AC28" si="35">SUM(V26:V27)</f>
        <v>18796540</v>
      </c>
      <c r="W28" s="608">
        <f>SUM(W26:W27)</f>
        <v>53375538</v>
      </c>
      <c r="X28" s="608">
        <f t="shared" si="35"/>
        <v>26200948</v>
      </c>
      <c r="Y28" s="608">
        <f t="shared" si="35"/>
        <v>56944932</v>
      </c>
      <c r="Z28" s="608">
        <f t="shared" si="35"/>
        <v>51445709</v>
      </c>
      <c r="AA28" s="608">
        <f>SUM(AA26:AA27)</f>
        <v>61581779</v>
      </c>
      <c r="AB28" s="608">
        <f t="shared" si="35"/>
        <v>57176657</v>
      </c>
      <c r="AC28" s="608">
        <f t="shared" si="35"/>
        <v>151404420</v>
      </c>
      <c r="AD28" s="609">
        <f t="shared" si="27"/>
        <v>-127129015</v>
      </c>
      <c r="AE28" s="579">
        <f t="shared" ref="AE28:AP28" si="36">SUM(AE26:AE27)</f>
        <v>419173167</v>
      </c>
      <c r="AF28" s="608">
        <f t="shared" si="36"/>
        <v>42362000</v>
      </c>
      <c r="AG28" s="608">
        <f t="shared" si="36"/>
        <v>10597479</v>
      </c>
      <c r="AH28" s="608">
        <f t="shared" si="36"/>
        <v>8164362</v>
      </c>
      <c r="AI28" s="608">
        <f t="shared" si="36"/>
        <v>9148270</v>
      </c>
      <c r="AJ28" s="608">
        <f t="shared" si="36"/>
        <v>22545466</v>
      </c>
      <c r="AK28" s="608">
        <f t="shared" si="36"/>
        <v>25017736</v>
      </c>
      <c r="AL28" s="608">
        <f t="shared" si="36"/>
        <v>27019706.980000123</v>
      </c>
      <c r="AM28" s="608">
        <f t="shared" si="36"/>
        <v>56200642</v>
      </c>
      <c r="AN28" s="608">
        <f t="shared" si="36"/>
        <v>87524798</v>
      </c>
      <c r="AO28" s="608">
        <f t="shared" si="36"/>
        <v>106444726.82999998</v>
      </c>
      <c r="AP28" s="608">
        <f t="shared" si="36"/>
        <v>75438427</v>
      </c>
      <c r="AQ28" s="608">
        <f>SUM(AQ26:AQ27)</f>
        <v>-137086241.32999989</v>
      </c>
      <c r="AR28" s="609">
        <f t="shared" si="28"/>
        <v>68437264.519999743</v>
      </c>
      <c r="AS28" s="579">
        <f>SUM(AS26:AS27)</f>
        <v>401814637</v>
      </c>
      <c r="AT28" s="583">
        <f>SUM(AT26:AT27)</f>
        <v>43695472</v>
      </c>
      <c r="AU28" s="583">
        <f t="shared" ref="AU28:AY28" si="37">SUM(AU26:AU27)</f>
        <v>16240211</v>
      </c>
      <c r="AV28" s="583">
        <f t="shared" si="37"/>
        <v>16931680</v>
      </c>
      <c r="AW28" s="583">
        <f t="shared" si="37"/>
        <v>14305966</v>
      </c>
      <c r="AX28" s="583">
        <f t="shared" si="37"/>
        <v>12132671</v>
      </c>
      <c r="AY28" s="583">
        <f t="shared" si="37"/>
        <v>11882769.809999987</v>
      </c>
      <c r="AZ28" s="584">
        <f t="shared" si="33"/>
        <v>71316729.364999995</v>
      </c>
      <c r="BA28" s="584">
        <f t="shared" si="29"/>
        <v>71316729.364999995</v>
      </c>
      <c r="BB28" s="584">
        <f t="shared" si="29"/>
        <v>71316729.364999995</v>
      </c>
      <c r="BC28" s="584">
        <f t="shared" si="29"/>
        <v>71316729.364999995</v>
      </c>
      <c r="BD28" s="584">
        <f t="shared" si="29"/>
        <v>71316729.364999995</v>
      </c>
      <c r="BE28" s="584">
        <f t="shared" si="29"/>
        <v>71316729.364999995</v>
      </c>
      <c r="BF28" s="579">
        <f>SUM(BF26:BF27)</f>
        <v>543089146</v>
      </c>
      <c r="BG28" s="608">
        <f t="shared" si="30"/>
        <v>50470933.083333336</v>
      </c>
      <c r="BH28" s="608">
        <f t="shared" si="31"/>
        <v>50470933.083333336</v>
      </c>
      <c r="BI28" s="608">
        <f t="shared" si="31"/>
        <v>50470933.083333336</v>
      </c>
      <c r="BJ28" s="608">
        <f t="shared" si="31"/>
        <v>50470933.083333336</v>
      </c>
      <c r="BK28" s="608">
        <f t="shared" si="31"/>
        <v>50470933.083333336</v>
      </c>
      <c r="BL28" s="608">
        <f t="shared" si="31"/>
        <v>50470933.083333336</v>
      </c>
      <c r="BM28" s="608">
        <f t="shared" si="31"/>
        <v>50470933.083333336</v>
      </c>
      <c r="BN28" s="608">
        <f t="shared" si="31"/>
        <v>50470933.083333336</v>
      </c>
      <c r="BO28" s="608">
        <f t="shared" si="31"/>
        <v>50470933.083333336</v>
      </c>
      <c r="BP28" s="608">
        <f t="shared" si="31"/>
        <v>50470933.083333336</v>
      </c>
      <c r="BQ28" s="608">
        <f t="shared" si="31"/>
        <v>50470933.083333336</v>
      </c>
      <c r="BR28" s="608">
        <f t="shared" si="31"/>
        <v>50470933.083333336</v>
      </c>
      <c r="BS28" s="579">
        <f t="shared" ref="BS28" si="38">SUM(BS26:BS27)</f>
        <v>605651197</v>
      </c>
    </row>
    <row r="29" spans="1:71" ht="15" customHeight="1">
      <c r="A29" s="556" t="s">
        <v>200</v>
      </c>
      <c r="B29" s="541" t="s">
        <v>113</v>
      </c>
      <c r="C29" s="558" t="s">
        <v>115</v>
      </c>
      <c r="D29" s="559">
        <v>22.46</v>
      </c>
      <c r="E29" s="560">
        <v>23.580000000000002</v>
      </c>
      <c r="F29" s="560">
        <v>24</v>
      </c>
      <c r="G29" s="560">
        <v>24</v>
      </c>
      <c r="H29" s="560">
        <v>23</v>
      </c>
      <c r="I29" s="560">
        <v>24</v>
      </c>
      <c r="J29" s="560">
        <v>24</v>
      </c>
      <c r="K29" s="560">
        <v>24</v>
      </c>
      <c r="L29" s="560">
        <v>24041</v>
      </c>
      <c r="M29" s="560">
        <v>24</v>
      </c>
      <c r="N29" s="560">
        <v>3042</v>
      </c>
      <c r="O29" s="560">
        <v>33</v>
      </c>
      <c r="P29" s="560">
        <f t="shared" si="32"/>
        <v>-27000.04</v>
      </c>
      <c r="Q29" s="579">
        <v>329</v>
      </c>
      <c r="R29" s="559">
        <v>20</v>
      </c>
      <c r="S29" s="560">
        <v>18</v>
      </c>
      <c r="T29" s="560">
        <v>17</v>
      </c>
      <c r="U29" s="560">
        <v>20</v>
      </c>
      <c r="V29" s="560">
        <v>19</v>
      </c>
      <c r="W29" s="560">
        <v>33</v>
      </c>
      <c r="X29" s="560">
        <v>23</v>
      </c>
      <c r="Y29" s="560">
        <v>23</v>
      </c>
      <c r="Z29" s="560">
        <v>38434</v>
      </c>
      <c r="AA29" s="560">
        <v>27</v>
      </c>
      <c r="AB29" s="560">
        <v>94017</v>
      </c>
      <c r="AC29" s="560">
        <v>23</v>
      </c>
      <c r="AD29" s="560">
        <f t="shared" si="27"/>
        <v>-132366</v>
      </c>
      <c r="AE29" s="579">
        <v>308</v>
      </c>
      <c r="AF29" s="559">
        <v>27523</v>
      </c>
      <c r="AG29" s="560">
        <v>32957</v>
      </c>
      <c r="AH29" s="560">
        <v>33173</v>
      </c>
      <c r="AI29" s="560">
        <v>39799</v>
      </c>
      <c r="AJ29" s="560">
        <v>5893</v>
      </c>
      <c r="AK29" s="560">
        <v>33447</v>
      </c>
      <c r="AL29" s="560">
        <v>65150.539999999804</v>
      </c>
      <c r="AM29" s="560">
        <v>34162.749999999985</v>
      </c>
      <c r="AN29" s="560">
        <v>72157.809999999925</v>
      </c>
      <c r="AO29" s="560">
        <v>39487.710000000021</v>
      </c>
      <c r="AP29" s="560">
        <v>27932</v>
      </c>
      <c r="AQ29" s="560">
        <v>36107.85</v>
      </c>
      <c r="AR29" s="560">
        <f t="shared" si="28"/>
        <v>26047.340000000258</v>
      </c>
      <c r="AS29" s="579">
        <v>473838</v>
      </c>
      <c r="AT29" s="559">
        <v>23776</v>
      </c>
      <c r="AU29" s="560">
        <v>32026</v>
      </c>
      <c r="AV29" s="560">
        <v>30304</v>
      </c>
      <c r="AW29" s="560">
        <v>61820</v>
      </c>
      <c r="AX29" s="560">
        <v>32573</v>
      </c>
      <c r="AY29" s="560">
        <v>31629.110000000011</v>
      </c>
      <c r="AZ29" s="560">
        <f t="shared" si="33"/>
        <v>34362.314999999995</v>
      </c>
      <c r="BA29" s="560">
        <f t="shared" si="29"/>
        <v>34362.314999999995</v>
      </c>
      <c r="BB29" s="560">
        <f t="shared" si="29"/>
        <v>34362.314999999995</v>
      </c>
      <c r="BC29" s="560">
        <f t="shared" si="29"/>
        <v>34362.314999999995</v>
      </c>
      <c r="BD29" s="560">
        <f t="shared" si="29"/>
        <v>34362.314999999995</v>
      </c>
      <c r="BE29" s="560">
        <f t="shared" si="29"/>
        <v>34362.314999999995</v>
      </c>
      <c r="BF29" s="579">
        <v>418302</v>
      </c>
      <c r="BG29" s="559">
        <f t="shared" si="30"/>
        <v>51148.416666666664</v>
      </c>
      <c r="BH29" s="560">
        <f t="shared" si="31"/>
        <v>51148.416666666664</v>
      </c>
      <c r="BI29" s="560">
        <f t="shared" si="31"/>
        <v>51148.416666666664</v>
      </c>
      <c r="BJ29" s="560">
        <f t="shared" si="31"/>
        <v>51148.416666666664</v>
      </c>
      <c r="BK29" s="560">
        <f t="shared" si="31"/>
        <v>51148.416666666664</v>
      </c>
      <c r="BL29" s="560">
        <f t="shared" si="31"/>
        <v>51148.416666666664</v>
      </c>
      <c r="BM29" s="560">
        <f t="shared" si="31"/>
        <v>51148.416666666664</v>
      </c>
      <c r="BN29" s="560">
        <f t="shared" si="31"/>
        <v>51148.416666666664</v>
      </c>
      <c r="BO29" s="560">
        <f t="shared" si="31"/>
        <v>51148.416666666664</v>
      </c>
      <c r="BP29" s="560">
        <f t="shared" si="31"/>
        <v>51148.416666666664</v>
      </c>
      <c r="BQ29" s="560">
        <f t="shared" si="31"/>
        <v>51148.416666666664</v>
      </c>
      <c r="BR29" s="560">
        <f t="shared" si="31"/>
        <v>51148.416666666664</v>
      </c>
      <c r="BS29" s="579">
        <v>613781</v>
      </c>
    </row>
    <row r="30" spans="1:71" ht="15" customHeight="1">
      <c r="A30" s="556"/>
      <c r="B30" s="541" t="s">
        <v>119</v>
      </c>
      <c r="C30" s="558" t="s">
        <v>340</v>
      </c>
      <c r="D30" s="559">
        <v>0</v>
      </c>
      <c r="E30" s="560">
        <v>270647.42</v>
      </c>
      <c r="F30" s="560">
        <v>289590</v>
      </c>
      <c r="G30" s="560">
        <v>287760</v>
      </c>
      <c r="H30" s="560">
        <v>297810</v>
      </c>
      <c r="I30" s="560">
        <v>296089</v>
      </c>
      <c r="J30" s="560">
        <v>300739</v>
      </c>
      <c r="K30" s="560">
        <v>308810</v>
      </c>
      <c r="L30" s="560">
        <v>315676</v>
      </c>
      <c r="M30" s="560">
        <v>306355</v>
      </c>
      <c r="N30" s="560">
        <v>316694</v>
      </c>
      <c r="O30" s="560">
        <v>303798.67</v>
      </c>
      <c r="P30" s="560">
        <f t="shared" si="32"/>
        <v>2996738.91</v>
      </c>
      <c r="Q30" s="579">
        <v>6290708</v>
      </c>
      <c r="R30" s="559">
        <v>0</v>
      </c>
      <c r="S30" s="560">
        <v>1352121</v>
      </c>
      <c r="T30" s="560">
        <v>1498360</v>
      </c>
      <c r="U30" s="560">
        <v>1452907</v>
      </c>
      <c r="V30" s="560">
        <v>1466642</v>
      </c>
      <c r="W30" s="560">
        <v>1430881</v>
      </c>
      <c r="X30" s="560">
        <v>1458819</v>
      </c>
      <c r="Y30" s="560">
        <v>144775</v>
      </c>
      <c r="Z30" s="560">
        <v>746.92999999999984</v>
      </c>
      <c r="AA30" s="560">
        <v>-63</v>
      </c>
      <c r="AB30" s="560">
        <v>-115036</v>
      </c>
      <c r="AC30" s="560">
        <v>-1</v>
      </c>
      <c r="AD30" s="560">
        <f t="shared" si="27"/>
        <v>-2688450.9299999997</v>
      </c>
      <c r="AE30" s="579">
        <v>6001701</v>
      </c>
      <c r="AF30" s="559">
        <v>0</v>
      </c>
      <c r="AG30" s="560">
        <v>1342042</v>
      </c>
      <c r="AH30" s="560">
        <v>1437443</v>
      </c>
      <c r="AI30" s="560">
        <v>1805678</v>
      </c>
      <c r="AJ30" s="560">
        <v>1348396</v>
      </c>
      <c r="AK30" s="560">
        <v>1356619</v>
      </c>
      <c r="AL30" s="560">
        <v>1013443.9100000003</v>
      </c>
      <c r="AM30" s="560">
        <v>-1800707.83</v>
      </c>
      <c r="AN30" s="560">
        <v>1482628.93</v>
      </c>
      <c r="AO30" s="560">
        <v>1539150.5899999996</v>
      </c>
      <c r="AP30" s="560">
        <v>1093577</v>
      </c>
      <c r="AQ30" s="560">
        <v>498563.90999999992</v>
      </c>
      <c r="AR30" s="560">
        <f t="shared" si="28"/>
        <v>-3015133.51</v>
      </c>
      <c r="AS30" s="579">
        <v>8101701</v>
      </c>
      <c r="AT30" s="559">
        <v>0</v>
      </c>
      <c r="AU30" s="560">
        <v>1218196.1500000006</v>
      </c>
      <c r="AV30" s="560">
        <v>1422219</v>
      </c>
      <c r="AW30" s="560">
        <v>1400818</v>
      </c>
      <c r="AX30" s="560">
        <v>1382680.7100000004</v>
      </c>
      <c r="AY30" s="560">
        <v>1402518.7700000003</v>
      </c>
      <c r="AZ30" s="560">
        <f>(BF30-AT30-AU30-AV30-AW30-AX30-AY30)/6</f>
        <v>-137455.27166666684</v>
      </c>
      <c r="BA30" s="560">
        <f t="shared" si="29"/>
        <v>-137455.27166666684</v>
      </c>
      <c r="BB30" s="560">
        <f t="shared" si="29"/>
        <v>-137455.27166666684</v>
      </c>
      <c r="BC30" s="560">
        <f t="shared" si="29"/>
        <v>-137455.27166666684</v>
      </c>
      <c r="BD30" s="560">
        <f t="shared" si="29"/>
        <v>-137455.27166666684</v>
      </c>
      <c r="BE30" s="560">
        <f t="shared" si="29"/>
        <v>-137455.27166666684</v>
      </c>
      <c r="BF30" s="579">
        <v>6001701</v>
      </c>
      <c r="BG30" s="559">
        <f t="shared" si="30"/>
        <v>500141.75</v>
      </c>
      <c r="BH30" s="560">
        <f t="shared" si="31"/>
        <v>500141.75</v>
      </c>
      <c r="BI30" s="560">
        <f t="shared" si="31"/>
        <v>500141.75</v>
      </c>
      <c r="BJ30" s="560">
        <f t="shared" si="31"/>
        <v>500141.75</v>
      </c>
      <c r="BK30" s="560">
        <f t="shared" si="31"/>
        <v>500141.75</v>
      </c>
      <c r="BL30" s="560">
        <f t="shared" si="31"/>
        <v>500141.75</v>
      </c>
      <c r="BM30" s="560">
        <f t="shared" si="31"/>
        <v>500141.75</v>
      </c>
      <c r="BN30" s="560">
        <f t="shared" si="31"/>
        <v>500141.75</v>
      </c>
      <c r="BO30" s="560">
        <f t="shared" si="31"/>
        <v>500141.75</v>
      </c>
      <c r="BP30" s="560">
        <f t="shared" si="31"/>
        <v>500141.75</v>
      </c>
      <c r="BQ30" s="560">
        <f t="shared" si="31"/>
        <v>500141.75</v>
      </c>
      <c r="BR30" s="560">
        <f t="shared" si="31"/>
        <v>500141.75</v>
      </c>
      <c r="BS30" s="579">
        <v>6001701</v>
      </c>
    </row>
    <row r="31" spans="1:71">
      <c r="A31" s="556"/>
      <c r="B31" s="541" t="s">
        <v>118</v>
      </c>
      <c r="C31" s="558" t="s">
        <v>341</v>
      </c>
      <c r="D31" s="559">
        <v>0</v>
      </c>
      <c r="E31" s="560">
        <v>503067.85</v>
      </c>
      <c r="F31" s="560">
        <v>501798</v>
      </c>
      <c r="G31" s="560">
        <v>496349</v>
      </c>
      <c r="H31" s="560">
        <v>57896</v>
      </c>
      <c r="I31" s="560">
        <v>51371</v>
      </c>
      <c r="J31" s="560">
        <v>-29949</v>
      </c>
      <c r="K31" s="560">
        <v>46451</v>
      </c>
      <c r="L31" s="560">
        <v>54107</v>
      </c>
      <c r="M31" s="560">
        <v>49459</v>
      </c>
      <c r="N31" s="560">
        <v>6733</v>
      </c>
      <c r="O31" s="560">
        <v>52403.12</v>
      </c>
      <c r="P31" s="560">
        <f t="shared" si="32"/>
        <v>-226804.9700000002</v>
      </c>
      <c r="Q31" s="579">
        <v>1562881</v>
      </c>
      <c r="R31" s="559">
        <v>0</v>
      </c>
      <c r="S31" s="560">
        <v>0</v>
      </c>
      <c r="T31" s="560">
        <v>516835</v>
      </c>
      <c r="U31" s="560">
        <v>9294</v>
      </c>
      <c r="V31" s="560">
        <v>0</v>
      </c>
      <c r="W31" s="560">
        <v>0</v>
      </c>
      <c r="X31" s="560">
        <v>1693</v>
      </c>
      <c r="Y31" s="560">
        <v>21</v>
      </c>
      <c r="Z31" s="560">
        <v>0</v>
      </c>
      <c r="AA31" s="560">
        <v>0</v>
      </c>
      <c r="AB31" s="560">
        <v>151</v>
      </c>
      <c r="AC31" s="560">
        <v>0</v>
      </c>
      <c r="AD31" s="560">
        <f t="shared" si="27"/>
        <v>1091625</v>
      </c>
      <c r="AE31" s="579">
        <v>1619619</v>
      </c>
      <c r="AF31" s="559">
        <v>0</v>
      </c>
      <c r="AG31" s="560">
        <v>489224</v>
      </c>
      <c r="AH31" s="560">
        <v>504655</v>
      </c>
      <c r="AI31" s="560">
        <v>578473</v>
      </c>
      <c r="AJ31" s="560">
        <v>4863.1899999999996</v>
      </c>
      <c r="AK31" s="560">
        <v>0</v>
      </c>
      <c r="AL31" s="560">
        <v>-17268.150000000001</v>
      </c>
      <c r="AM31" s="560">
        <v>0</v>
      </c>
      <c r="AN31" s="560">
        <v>266.06</v>
      </c>
      <c r="AO31" s="560">
        <v>0</v>
      </c>
      <c r="AP31" s="560">
        <v>169</v>
      </c>
      <c r="AQ31" s="560">
        <v>0</v>
      </c>
      <c r="AR31" s="560">
        <f t="shared" si="28"/>
        <v>155385.89999999991</v>
      </c>
      <c r="AS31" s="579">
        <v>1715768</v>
      </c>
      <c r="AT31" s="559">
        <v>0</v>
      </c>
      <c r="AU31" s="560">
        <v>551026.49</v>
      </c>
      <c r="AV31" s="560">
        <v>597890</v>
      </c>
      <c r="AW31" s="560">
        <v>595184</v>
      </c>
      <c r="AX31" s="560">
        <v>557552.35000000009</v>
      </c>
      <c r="AY31" s="560">
        <v>577100.82999999996</v>
      </c>
      <c r="AZ31" s="560">
        <f t="shared" si="33"/>
        <v>-230757.44499999998</v>
      </c>
      <c r="BA31" s="560">
        <f t="shared" si="29"/>
        <v>-230757.44499999998</v>
      </c>
      <c r="BB31" s="560">
        <f t="shared" si="29"/>
        <v>-230757.44499999998</v>
      </c>
      <c r="BC31" s="560">
        <f t="shared" si="29"/>
        <v>-230757.44499999998</v>
      </c>
      <c r="BD31" s="560">
        <f t="shared" si="29"/>
        <v>-230757.44499999998</v>
      </c>
      <c r="BE31" s="560">
        <f t="shared" si="29"/>
        <v>-230757.44499999998</v>
      </c>
      <c r="BF31" s="579">
        <v>1494209</v>
      </c>
      <c r="BG31" s="559">
        <f t="shared" si="30"/>
        <v>124517.41666666667</v>
      </c>
      <c r="BH31" s="560">
        <f t="shared" si="31"/>
        <v>124517.41666666667</v>
      </c>
      <c r="BI31" s="560">
        <f t="shared" si="31"/>
        <v>124517.41666666667</v>
      </c>
      <c r="BJ31" s="560">
        <f t="shared" si="31"/>
        <v>124517.41666666667</v>
      </c>
      <c r="BK31" s="560">
        <f t="shared" si="31"/>
        <v>124517.41666666667</v>
      </c>
      <c r="BL31" s="560">
        <f t="shared" si="31"/>
        <v>124517.41666666667</v>
      </c>
      <c r="BM31" s="560">
        <f t="shared" si="31"/>
        <v>124517.41666666667</v>
      </c>
      <c r="BN31" s="560">
        <f t="shared" si="31"/>
        <v>124517.41666666667</v>
      </c>
      <c r="BO31" s="560">
        <f t="shared" si="31"/>
        <v>124517.41666666667</v>
      </c>
      <c r="BP31" s="560">
        <f t="shared" si="31"/>
        <v>124517.41666666667</v>
      </c>
      <c r="BQ31" s="560">
        <f t="shared" si="31"/>
        <v>124517.41666666667</v>
      </c>
      <c r="BR31" s="560">
        <f t="shared" si="31"/>
        <v>124517.41666666667</v>
      </c>
      <c r="BS31" s="579">
        <v>1494209</v>
      </c>
    </row>
    <row r="32" spans="1:71">
      <c r="A32" s="556"/>
      <c r="B32" s="541" t="s">
        <v>367</v>
      </c>
      <c r="C32" s="558" t="s">
        <v>369</v>
      </c>
      <c r="D32" s="559">
        <v>0</v>
      </c>
      <c r="E32" s="560">
        <v>0</v>
      </c>
      <c r="F32" s="560">
        <v>0</v>
      </c>
      <c r="G32" s="560">
        <v>0</v>
      </c>
      <c r="H32" s="560">
        <v>0</v>
      </c>
      <c r="I32" s="560">
        <v>0</v>
      </c>
      <c r="J32" s="560">
        <v>0</v>
      </c>
      <c r="K32" s="560">
        <v>0</v>
      </c>
      <c r="L32" s="560">
        <v>0</v>
      </c>
      <c r="M32" s="560">
        <v>0</v>
      </c>
      <c r="N32" s="560">
        <v>156192</v>
      </c>
      <c r="O32" s="560">
        <v>0</v>
      </c>
      <c r="P32" s="560">
        <f t="shared" si="32"/>
        <v>0</v>
      </c>
      <c r="Q32" s="579">
        <v>156192</v>
      </c>
      <c r="R32" s="559">
        <v>0</v>
      </c>
      <c r="S32" s="560">
        <v>0</v>
      </c>
      <c r="T32" s="560">
        <v>0</v>
      </c>
      <c r="U32" s="560">
        <v>0</v>
      </c>
      <c r="V32" s="560">
        <v>0</v>
      </c>
      <c r="W32" s="560">
        <v>0</v>
      </c>
      <c r="X32" s="560">
        <v>0</v>
      </c>
      <c r="Y32" s="560">
        <v>0</v>
      </c>
      <c r="Z32" s="560">
        <v>0</v>
      </c>
      <c r="AA32" s="560">
        <v>425969</v>
      </c>
      <c r="AB32" s="560">
        <v>0</v>
      </c>
      <c r="AC32" s="560">
        <v>0</v>
      </c>
      <c r="AD32" s="560">
        <f t="shared" si="27"/>
        <v>0</v>
      </c>
      <c r="AE32" s="579">
        <v>425969</v>
      </c>
      <c r="AF32" s="559">
        <v>0</v>
      </c>
      <c r="AG32" s="560">
        <v>0</v>
      </c>
      <c r="AH32" s="560">
        <v>0</v>
      </c>
      <c r="AI32" s="560">
        <v>0</v>
      </c>
      <c r="AJ32" s="560">
        <v>0</v>
      </c>
      <c r="AK32" s="560">
        <v>0</v>
      </c>
      <c r="AL32" s="560">
        <v>0</v>
      </c>
      <c r="AM32" s="560">
        <v>0</v>
      </c>
      <c r="AN32" s="560">
        <v>0</v>
      </c>
      <c r="AO32" s="560">
        <v>0</v>
      </c>
      <c r="AP32" s="560">
        <v>0</v>
      </c>
      <c r="AQ32" s="560">
        <v>0</v>
      </c>
      <c r="AR32" s="560">
        <f t="shared" si="28"/>
        <v>550010</v>
      </c>
      <c r="AS32" s="579">
        <v>550010</v>
      </c>
      <c r="AT32" s="559">
        <v>0</v>
      </c>
      <c r="AU32" s="560">
        <v>0</v>
      </c>
      <c r="AV32" s="560">
        <v>0</v>
      </c>
      <c r="AW32" s="560">
        <v>3873</v>
      </c>
      <c r="AX32" s="560">
        <v>0</v>
      </c>
      <c r="AY32" s="560">
        <v>0</v>
      </c>
      <c r="AZ32" s="560">
        <f t="shared" si="33"/>
        <v>0</v>
      </c>
      <c r="BA32" s="560">
        <f t="shared" si="29"/>
        <v>0</v>
      </c>
      <c r="BB32" s="560">
        <f t="shared" si="29"/>
        <v>0</v>
      </c>
      <c r="BC32" s="560">
        <f t="shared" si="29"/>
        <v>0</v>
      </c>
      <c r="BD32" s="560">
        <f t="shared" si="29"/>
        <v>0</v>
      </c>
      <c r="BE32" s="560">
        <f t="shared" si="29"/>
        <v>0</v>
      </c>
      <c r="BF32" s="579">
        <v>3873</v>
      </c>
      <c r="BG32" s="559">
        <f t="shared" si="30"/>
        <v>0</v>
      </c>
      <c r="BH32" s="560">
        <f t="shared" si="31"/>
        <v>0</v>
      </c>
      <c r="BI32" s="560">
        <f t="shared" si="31"/>
        <v>0</v>
      </c>
      <c r="BJ32" s="560">
        <f t="shared" si="31"/>
        <v>0</v>
      </c>
      <c r="BK32" s="560">
        <f t="shared" si="31"/>
        <v>0</v>
      </c>
      <c r="BL32" s="560">
        <f t="shared" si="31"/>
        <v>0</v>
      </c>
      <c r="BM32" s="560">
        <f t="shared" si="31"/>
        <v>0</v>
      </c>
      <c r="BN32" s="560">
        <f t="shared" si="31"/>
        <v>0</v>
      </c>
      <c r="BO32" s="560">
        <f t="shared" si="31"/>
        <v>0</v>
      </c>
      <c r="BP32" s="560">
        <f t="shared" si="31"/>
        <v>0</v>
      </c>
      <c r="BQ32" s="560">
        <f t="shared" si="31"/>
        <v>0</v>
      </c>
      <c r="BR32" s="560">
        <f t="shared" si="31"/>
        <v>0</v>
      </c>
      <c r="BS32" s="579">
        <v>0</v>
      </c>
    </row>
    <row r="33" spans="1:71" ht="15" customHeight="1">
      <c r="A33" s="556"/>
      <c r="B33" s="541" t="s">
        <v>438</v>
      </c>
      <c r="C33" s="558" t="s">
        <v>63</v>
      </c>
      <c r="D33" s="559">
        <v>0</v>
      </c>
      <c r="E33" s="560">
        <v>23884895.41</v>
      </c>
      <c r="F33" s="560">
        <v>25633599</v>
      </c>
      <c r="G33" s="560">
        <v>25448659</v>
      </c>
      <c r="H33" s="560">
        <v>26408403</v>
      </c>
      <c r="I33" s="560">
        <v>26221273</v>
      </c>
      <c r="J33" s="560">
        <v>26690306</v>
      </c>
      <c r="K33" s="560">
        <v>27451255</v>
      </c>
      <c r="L33" s="560">
        <v>28063807</v>
      </c>
      <c r="M33" s="560">
        <v>27221728</v>
      </c>
      <c r="N33" s="560">
        <v>1199946</v>
      </c>
      <c r="O33" s="560">
        <v>-3552</v>
      </c>
      <c r="P33" s="560">
        <f t="shared" si="32"/>
        <v>-120179480.41</v>
      </c>
      <c r="Q33" s="579">
        <v>118040839</v>
      </c>
      <c r="R33" s="559">
        <v>0</v>
      </c>
      <c r="S33" s="560">
        <v>25205040</v>
      </c>
      <c r="T33" s="560">
        <v>28047423</v>
      </c>
      <c r="U33" s="560">
        <v>28327801</v>
      </c>
      <c r="V33" s="560">
        <v>27686596</v>
      </c>
      <c r="W33" s="560">
        <v>27290635</v>
      </c>
      <c r="X33" s="560">
        <v>27942036</v>
      </c>
      <c r="Y33" s="560">
        <v>1662727</v>
      </c>
      <c r="Z33" s="560">
        <v>383836.74000000005</v>
      </c>
      <c r="AA33" s="560">
        <v>343021</v>
      </c>
      <c r="AB33" s="560">
        <v>-11905721</v>
      </c>
      <c r="AC33" s="560">
        <v>-66256490</v>
      </c>
      <c r="AD33" s="560">
        <f t="shared" si="27"/>
        <v>37808890.25999999</v>
      </c>
      <c r="AE33" s="579">
        <v>126535795</v>
      </c>
      <c r="AF33" s="559">
        <v>0</v>
      </c>
      <c r="AG33" s="560">
        <v>23338802</v>
      </c>
      <c r="AH33" s="560">
        <v>24966932</v>
      </c>
      <c r="AI33" s="560">
        <v>30382120</v>
      </c>
      <c r="AJ33" s="560">
        <v>24124289</v>
      </c>
      <c r="AK33" s="560">
        <v>24073799</v>
      </c>
      <c r="AL33" s="560">
        <v>30166341.619999982</v>
      </c>
      <c r="AM33" s="560">
        <v>16295429</v>
      </c>
      <c r="AN33" s="560">
        <v>25998439.430000003</v>
      </c>
      <c r="AO33" s="560">
        <v>-48272551.870000005</v>
      </c>
      <c r="AP33" s="560">
        <v>-24657480</v>
      </c>
      <c r="AQ33" s="560">
        <v>27046055.40000001</v>
      </c>
      <c r="AR33" s="560">
        <f t="shared" si="28"/>
        <v>-27333775.579999983</v>
      </c>
      <c r="AS33" s="579">
        <v>126128400</v>
      </c>
      <c r="AT33" s="559">
        <v>0</v>
      </c>
      <c r="AU33" s="560">
        <v>26110587</v>
      </c>
      <c r="AV33" s="560">
        <v>28789513</v>
      </c>
      <c r="AW33" s="560">
        <v>29134790</v>
      </c>
      <c r="AX33" s="560">
        <v>29941930</v>
      </c>
      <c r="AY33" s="560">
        <v>28709252.810000002</v>
      </c>
      <c r="AZ33" s="560">
        <f t="shared" si="33"/>
        <v>-2759612.1350000002</v>
      </c>
      <c r="BA33" s="560">
        <f t="shared" si="29"/>
        <v>-2759612.1350000002</v>
      </c>
      <c r="BB33" s="560">
        <f t="shared" si="29"/>
        <v>-2759612.1350000002</v>
      </c>
      <c r="BC33" s="560">
        <f t="shared" si="29"/>
        <v>-2759612.1350000002</v>
      </c>
      <c r="BD33" s="560">
        <f t="shared" si="29"/>
        <v>-2759612.1350000002</v>
      </c>
      <c r="BE33" s="560">
        <f t="shared" si="29"/>
        <v>-2759612.1350000002</v>
      </c>
      <c r="BF33" s="579">
        <v>126128400</v>
      </c>
      <c r="BG33" s="559">
        <f t="shared" si="30"/>
        <v>10510700</v>
      </c>
      <c r="BH33" s="560">
        <f t="shared" si="31"/>
        <v>10510700</v>
      </c>
      <c r="BI33" s="560">
        <f t="shared" si="31"/>
        <v>10510700</v>
      </c>
      <c r="BJ33" s="560">
        <f t="shared" si="31"/>
        <v>10510700</v>
      </c>
      <c r="BK33" s="560">
        <f t="shared" si="31"/>
        <v>10510700</v>
      </c>
      <c r="BL33" s="560">
        <f t="shared" si="31"/>
        <v>10510700</v>
      </c>
      <c r="BM33" s="560">
        <f t="shared" si="31"/>
        <v>10510700</v>
      </c>
      <c r="BN33" s="560">
        <f t="shared" si="31"/>
        <v>10510700</v>
      </c>
      <c r="BO33" s="560">
        <f t="shared" si="31"/>
        <v>10510700</v>
      </c>
      <c r="BP33" s="560">
        <f t="shared" si="31"/>
        <v>10510700</v>
      </c>
      <c r="BQ33" s="560">
        <f t="shared" si="31"/>
        <v>10510700</v>
      </c>
      <c r="BR33" s="560">
        <f t="shared" si="31"/>
        <v>10510700</v>
      </c>
      <c r="BS33" s="579">
        <v>126128400</v>
      </c>
    </row>
    <row r="34" spans="1:71">
      <c r="A34" s="556"/>
      <c r="B34" s="541" t="s">
        <v>463</v>
      </c>
      <c r="C34" s="558" t="s">
        <v>563</v>
      </c>
      <c r="D34" s="559">
        <v>0</v>
      </c>
      <c r="E34" s="560">
        <v>0</v>
      </c>
      <c r="F34" s="560">
        <v>0</v>
      </c>
      <c r="G34" s="560">
        <v>0</v>
      </c>
      <c r="H34" s="560">
        <v>0</v>
      </c>
      <c r="I34" s="560">
        <v>0</v>
      </c>
      <c r="J34" s="560">
        <v>0</v>
      </c>
      <c r="K34" s="560">
        <v>0</v>
      </c>
      <c r="L34" s="560">
        <v>0</v>
      </c>
      <c r="M34" s="560">
        <v>0</v>
      </c>
      <c r="N34" s="560">
        <v>0</v>
      </c>
      <c r="O34" s="560">
        <v>0</v>
      </c>
      <c r="P34" s="560">
        <f t="shared" si="32"/>
        <v>138745</v>
      </c>
      <c r="Q34" s="579">
        <v>138745</v>
      </c>
      <c r="R34" s="559">
        <v>0</v>
      </c>
      <c r="S34" s="560">
        <v>0</v>
      </c>
      <c r="T34" s="560">
        <v>0</v>
      </c>
      <c r="U34" s="560">
        <f t="shared" ref="U34:U43" si="39">(AE34-R34-S34-T34)/9</f>
        <v>0</v>
      </c>
      <c r="V34" s="560">
        <f t="shared" ref="V34:V43" si="40">(AE34-R34-S34-T34-U34)/8</f>
        <v>0</v>
      </c>
      <c r="W34" s="560">
        <f t="shared" ref="W34:W43" si="41">(AE34-R34-S34-T34-U34-V34)/7</f>
        <v>0</v>
      </c>
      <c r="X34" s="560">
        <f t="shared" ref="X34:X40" si="42">(AE34-D34-E34-F34-G34-H34-I34)/6</f>
        <v>0</v>
      </c>
      <c r="Y34" s="560">
        <v>0</v>
      </c>
      <c r="Z34" s="560">
        <f t="shared" ref="Z34:Z43" si="43">(AE34-R34-S34-T34-U34-V34-W34-X34-Y34)/4</f>
        <v>0</v>
      </c>
      <c r="AA34" s="560">
        <v>0</v>
      </c>
      <c r="AB34" s="560">
        <f t="shared" ref="AB34:AB40" si="44">(AE34-R34-S34-T34-U34-V34-W34-X34-Y34-Z34-AA34)/2</f>
        <v>0</v>
      </c>
      <c r="AC34" s="560">
        <f t="shared" ref="AC34:AC43" si="45">AE34-R34-S34-T34-U34-V34-W34-X34-Y34-Z34-AA34-AB34</f>
        <v>0</v>
      </c>
      <c r="AD34" s="560">
        <f t="shared" si="27"/>
        <v>0</v>
      </c>
      <c r="AE34" s="579">
        <v>0</v>
      </c>
      <c r="AF34" s="559">
        <v>0</v>
      </c>
      <c r="AG34" s="560">
        <f t="shared" ref="AG34" si="46">(AS34-AF34)/11</f>
        <v>0</v>
      </c>
      <c r="AH34" s="560">
        <f t="shared" ref="AH34:AH40" si="47">(AS34-AF34-AG34)/10</f>
        <v>0</v>
      </c>
      <c r="AI34" s="560">
        <f t="shared" ref="AI34:AI40" si="48">(AS34-AF34-AG34-AH34)/9</f>
        <v>0</v>
      </c>
      <c r="AJ34" s="560">
        <f t="shared" si="19"/>
        <v>0</v>
      </c>
      <c r="AK34" s="560">
        <f t="shared" ref="AK34" si="49">(AS34-AF34-AG34-AH34-AI34-AJ34)/7</f>
        <v>0</v>
      </c>
      <c r="AL34" s="560">
        <f t="shared" ref="AL34:AL40" si="50">(AS34-AF34-AG34-AH34-AI34-AJ34-AK34)/6</f>
        <v>0</v>
      </c>
      <c r="AM34" s="560">
        <f t="shared" ref="AM34:AM40" si="51">(AS34-AF34-AG34-AH34-AI34-AJ34-AK34-AL34)/5</f>
        <v>0</v>
      </c>
      <c r="AN34" s="560">
        <f t="shared" ref="AN34:AN40" si="52">(AS34-AF34-AG34-AH34-AI34-AJ34-AK34-AL34-AM34)/4</f>
        <v>0</v>
      </c>
      <c r="AO34" s="560">
        <f t="shared" ref="AO34" si="53">(AS34-AF34-AG34-AH34-AI34-AJ34-AK34-AL34--AM34-AN34)/3</f>
        <v>0</v>
      </c>
      <c r="AP34" s="560">
        <v>0</v>
      </c>
      <c r="AQ34" s="560">
        <f t="shared" ref="AQ34:AQ40" si="54">AS34-AF34-AG34-AH34-AI34-AJ34-AK34-AL34-AM34-AN34-AO34-AP34</f>
        <v>0</v>
      </c>
      <c r="AR34" s="560">
        <f t="shared" si="28"/>
        <v>0</v>
      </c>
      <c r="AS34" s="579">
        <v>0</v>
      </c>
      <c r="AT34" s="559">
        <v>0</v>
      </c>
      <c r="AU34" s="560">
        <v>0</v>
      </c>
      <c r="AV34" s="560">
        <v>0</v>
      </c>
      <c r="AW34" s="560">
        <v>80000</v>
      </c>
      <c r="AX34" s="560">
        <v>35000</v>
      </c>
      <c r="AY34" s="560">
        <v>0</v>
      </c>
      <c r="AZ34" s="560">
        <f t="shared" si="33"/>
        <v>1014166.6666666666</v>
      </c>
      <c r="BA34" s="560">
        <f t="shared" si="29"/>
        <v>1014166.6666666666</v>
      </c>
      <c r="BB34" s="560">
        <f t="shared" si="29"/>
        <v>1014166.6666666666</v>
      </c>
      <c r="BC34" s="560">
        <f t="shared" si="29"/>
        <v>1014166.6666666666</v>
      </c>
      <c r="BD34" s="560">
        <f t="shared" si="29"/>
        <v>1014166.6666666666</v>
      </c>
      <c r="BE34" s="560">
        <f t="shared" si="29"/>
        <v>1014166.6666666666</v>
      </c>
      <c r="BF34" s="579">
        <v>6200000</v>
      </c>
      <c r="BG34" s="559">
        <f t="shared" si="30"/>
        <v>516666.66666666669</v>
      </c>
      <c r="BH34" s="560">
        <f t="shared" si="31"/>
        <v>516666.66666666669</v>
      </c>
      <c r="BI34" s="560">
        <f t="shared" si="31"/>
        <v>516666.66666666669</v>
      </c>
      <c r="BJ34" s="560">
        <f t="shared" si="31"/>
        <v>516666.66666666669</v>
      </c>
      <c r="BK34" s="560">
        <f t="shared" si="31"/>
        <v>516666.66666666669</v>
      </c>
      <c r="BL34" s="560">
        <f t="shared" si="31"/>
        <v>516666.66666666669</v>
      </c>
      <c r="BM34" s="560">
        <f t="shared" si="31"/>
        <v>516666.66666666669</v>
      </c>
      <c r="BN34" s="560">
        <f t="shared" si="31"/>
        <v>516666.66666666669</v>
      </c>
      <c r="BO34" s="560">
        <f t="shared" si="31"/>
        <v>516666.66666666669</v>
      </c>
      <c r="BP34" s="560">
        <f t="shared" si="31"/>
        <v>516666.66666666669</v>
      </c>
      <c r="BQ34" s="560">
        <f t="shared" si="31"/>
        <v>516666.66666666669</v>
      </c>
      <c r="BR34" s="560">
        <f t="shared" si="31"/>
        <v>516666.66666666669</v>
      </c>
      <c r="BS34" s="579">
        <v>6200000</v>
      </c>
    </row>
    <row r="35" spans="1:71">
      <c r="A35" s="556"/>
      <c r="B35" s="541" t="s">
        <v>631</v>
      </c>
      <c r="C35" s="558" t="s">
        <v>652</v>
      </c>
      <c r="D35" s="559"/>
      <c r="E35" s="560"/>
      <c r="F35" s="560"/>
      <c r="G35" s="560"/>
      <c r="H35" s="560"/>
      <c r="I35" s="560"/>
      <c r="J35" s="560"/>
      <c r="K35" s="560"/>
      <c r="L35" s="560"/>
      <c r="M35" s="560"/>
      <c r="N35" s="560"/>
      <c r="O35" s="560"/>
      <c r="P35" s="560"/>
      <c r="Q35" s="579"/>
      <c r="R35" s="559"/>
      <c r="S35" s="560"/>
      <c r="T35" s="560"/>
      <c r="U35" s="560"/>
      <c r="V35" s="560"/>
      <c r="W35" s="560"/>
      <c r="X35" s="560"/>
      <c r="Y35" s="560"/>
      <c r="Z35" s="560"/>
      <c r="AA35" s="560"/>
      <c r="AB35" s="560"/>
      <c r="AC35" s="560"/>
      <c r="AD35" s="560"/>
      <c r="AE35" s="579"/>
      <c r="AF35" s="559"/>
      <c r="AG35" s="560"/>
      <c r="AH35" s="560"/>
      <c r="AI35" s="560"/>
      <c r="AJ35" s="560"/>
      <c r="AK35" s="560"/>
      <c r="AL35" s="560"/>
      <c r="AM35" s="560"/>
      <c r="AN35" s="560"/>
      <c r="AO35" s="560"/>
      <c r="AP35" s="560"/>
      <c r="AQ35" s="560"/>
      <c r="AR35" s="560"/>
      <c r="AS35" s="579"/>
      <c r="AT35" s="559"/>
      <c r="AU35" s="560"/>
      <c r="AV35" s="560"/>
      <c r="AW35" s="560"/>
      <c r="AX35" s="560"/>
      <c r="AY35" s="560"/>
      <c r="AZ35" s="560">
        <f t="shared" si="33"/>
        <v>150000</v>
      </c>
      <c r="BA35" s="560">
        <f t="shared" si="29"/>
        <v>150000</v>
      </c>
      <c r="BB35" s="560">
        <f t="shared" si="29"/>
        <v>150000</v>
      </c>
      <c r="BC35" s="560">
        <f t="shared" si="29"/>
        <v>150000</v>
      </c>
      <c r="BD35" s="560">
        <f t="shared" si="29"/>
        <v>150000</v>
      </c>
      <c r="BE35" s="560">
        <f t="shared" si="29"/>
        <v>150000</v>
      </c>
      <c r="BF35" s="579">
        <v>900000</v>
      </c>
      <c r="BG35" s="559"/>
      <c r="BH35" s="560"/>
      <c r="BI35" s="560"/>
      <c r="BJ35" s="560"/>
      <c r="BK35" s="560"/>
      <c r="BL35" s="560"/>
      <c r="BM35" s="560"/>
      <c r="BN35" s="560"/>
      <c r="BO35" s="560"/>
      <c r="BP35" s="560"/>
      <c r="BQ35" s="560"/>
      <c r="BR35" s="560"/>
      <c r="BS35" s="579"/>
    </row>
    <row r="36" spans="1:71">
      <c r="A36" s="556"/>
      <c r="B36" s="541" t="s">
        <v>445</v>
      </c>
      <c r="C36" s="558" t="s">
        <v>71</v>
      </c>
      <c r="D36" s="559">
        <v>0</v>
      </c>
      <c r="E36" s="560">
        <v>10262343.67</v>
      </c>
      <c r="F36" s="560">
        <v>11013702</v>
      </c>
      <c r="G36" s="560">
        <v>10934317</v>
      </c>
      <c r="H36" s="560">
        <v>11346700</v>
      </c>
      <c r="I36" s="560">
        <v>380878</v>
      </c>
      <c r="J36" s="560">
        <v>-75</v>
      </c>
      <c r="K36" s="560">
        <v>226235</v>
      </c>
      <c r="L36" s="560">
        <v>-3738</v>
      </c>
      <c r="M36" s="560">
        <v>0</v>
      </c>
      <c r="N36" s="560">
        <v>2609220</v>
      </c>
      <c r="O36" s="560">
        <v>-967</v>
      </c>
      <c r="P36" s="560">
        <f t="shared" si="32"/>
        <v>-26728767.670000002</v>
      </c>
      <c r="Q36" s="579">
        <v>20039848</v>
      </c>
      <c r="R36" s="559">
        <v>0</v>
      </c>
      <c r="S36" s="560">
        <v>10383601</v>
      </c>
      <c r="T36" s="560">
        <v>11554582</v>
      </c>
      <c r="U36" s="560">
        <v>11670081</v>
      </c>
      <c r="V36" s="560">
        <v>401241</v>
      </c>
      <c r="W36" s="560">
        <v>29302</v>
      </c>
      <c r="X36" s="560">
        <v>208</v>
      </c>
      <c r="Y36" s="560">
        <v>805</v>
      </c>
      <c r="Z36" s="560">
        <v>347</v>
      </c>
      <c r="AA36" s="560">
        <v>-1216</v>
      </c>
      <c r="AB36" s="560">
        <v>9814983</v>
      </c>
      <c r="AC36" s="560">
        <v>-23991711</v>
      </c>
      <c r="AD36" s="560">
        <f t="shared" si="27"/>
        <v>-4220</v>
      </c>
      <c r="AE36" s="579">
        <v>19858003</v>
      </c>
      <c r="AF36" s="559">
        <v>0</v>
      </c>
      <c r="AG36" s="560">
        <v>14612429</v>
      </c>
      <c r="AH36" s="560">
        <v>15631890</v>
      </c>
      <c r="AI36" s="560">
        <v>19022606</v>
      </c>
      <c r="AJ36" s="560">
        <v>103793.63000000003</v>
      </c>
      <c r="AK36" s="560">
        <v>14008</v>
      </c>
      <c r="AL36" s="560">
        <v>-7975211.8700000085</v>
      </c>
      <c r="AM36" s="560">
        <v>-18278600</v>
      </c>
      <c r="AN36" s="560">
        <v>-489.38</v>
      </c>
      <c r="AO36" s="560">
        <v>-695.91</v>
      </c>
      <c r="AP36" s="560">
        <v>-15234</v>
      </c>
      <c r="AQ36" s="560">
        <v>-4079313.19</v>
      </c>
      <c r="AR36" s="560">
        <f t="shared" si="28"/>
        <v>372056.72000000998</v>
      </c>
      <c r="AS36" s="579">
        <v>19407239</v>
      </c>
      <c r="AT36" s="559">
        <v>0</v>
      </c>
      <c r="AU36" s="560">
        <v>10442977</v>
      </c>
      <c r="AV36" s="560">
        <v>11514402</v>
      </c>
      <c r="AW36" s="560">
        <v>11614670</v>
      </c>
      <c r="AX36" s="560">
        <v>11845548</v>
      </c>
      <c r="AY36" s="560">
        <v>11437068.999999994</v>
      </c>
      <c r="AZ36" s="560">
        <f t="shared" si="33"/>
        <v>-6166110.4999999991</v>
      </c>
      <c r="BA36" s="560">
        <f t="shared" si="29"/>
        <v>-6166110.4999999991</v>
      </c>
      <c r="BB36" s="560">
        <f t="shared" si="29"/>
        <v>-6166110.4999999991</v>
      </c>
      <c r="BC36" s="560">
        <f t="shared" si="29"/>
        <v>-6166110.4999999991</v>
      </c>
      <c r="BD36" s="560">
        <f t="shared" si="29"/>
        <v>-6166110.4999999991</v>
      </c>
      <c r="BE36" s="560">
        <f t="shared" si="29"/>
        <v>-6166110.4999999991</v>
      </c>
      <c r="BF36" s="579">
        <v>19858003</v>
      </c>
      <c r="BG36" s="559">
        <f t="shared" si="30"/>
        <v>1654833.5833333333</v>
      </c>
      <c r="BH36" s="560">
        <f t="shared" ref="BH36:BR50" si="55">BG36</f>
        <v>1654833.5833333333</v>
      </c>
      <c r="BI36" s="560">
        <f t="shared" si="55"/>
        <v>1654833.5833333333</v>
      </c>
      <c r="BJ36" s="560">
        <f t="shared" si="55"/>
        <v>1654833.5833333333</v>
      </c>
      <c r="BK36" s="560">
        <f t="shared" si="55"/>
        <v>1654833.5833333333</v>
      </c>
      <c r="BL36" s="560">
        <f t="shared" si="55"/>
        <v>1654833.5833333333</v>
      </c>
      <c r="BM36" s="560">
        <f t="shared" si="55"/>
        <v>1654833.5833333333</v>
      </c>
      <c r="BN36" s="560">
        <f t="shared" si="55"/>
        <v>1654833.5833333333</v>
      </c>
      <c r="BO36" s="560">
        <f t="shared" si="55"/>
        <v>1654833.5833333333</v>
      </c>
      <c r="BP36" s="560">
        <f t="shared" si="55"/>
        <v>1654833.5833333333</v>
      </c>
      <c r="BQ36" s="560">
        <f t="shared" si="55"/>
        <v>1654833.5833333333</v>
      </c>
      <c r="BR36" s="560">
        <f t="shared" si="55"/>
        <v>1654833.5833333333</v>
      </c>
      <c r="BS36" s="579">
        <v>19858003</v>
      </c>
    </row>
    <row r="37" spans="1:71">
      <c r="A37" s="556"/>
      <c r="B37" s="541" t="s">
        <v>454</v>
      </c>
      <c r="C37" s="558" t="s">
        <v>455</v>
      </c>
      <c r="D37" s="559"/>
      <c r="E37" s="560"/>
      <c r="F37" s="560"/>
      <c r="G37" s="560"/>
      <c r="H37" s="560"/>
      <c r="I37" s="560"/>
      <c r="J37" s="560"/>
      <c r="K37" s="560"/>
      <c r="L37" s="560"/>
      <c r="M37" s="560"/>
      <c r="N37" s="560"/>
      <c r="O37" s="560"/>
      <c r="P37" s="560"/>
      <c r="Q37" s="579"/>
      <c r="R37" s="559"/>
      <c r="S37" s="560"/>
      <c r="T37" s="560"/>
      <c r="U37" s="560"/>
      <c r="V37" s="560"/>
      <c r="W37" s="560"/>
      <c r="X37" s="560"/>
      <c r="Y37" s="560"/>
      <c r="Z37" s="560"/>
      <c r="AA37" s="560"/>
      <c r="AB37" s="560"/>
      <c r="AC37" s="560">
        <v>792364</v>
      </c>
      <c r="AD37" s="560">
        <f t="shared" si="27"/>
        <v>401491</v>
      </c>
      <c r="AE37" s="579">
        <v>1193855</v>
      </c>
      <c r="AF37" s="559">
        <v>0</v>
      </c>
      <c r="AG37" s="560">
        <v>0</v>
      </c>
      <c r="AH37" s="560">
        <v>190328</v>
      </c>
      <c r="AI37" s="560">
        <v>78158</v>
      </c>
      <c r="AJ37" s="560">
        <v>42787.73</v>
      </c>
      <c r="AK37" s="560">
        <v>269</v>
      </c>
      <c r="AL37" s="560">
        <v>0</v>
      </c>
      <c r="AM37" s="560">
        <v>0</v>
      </c>
      <c r="AN37" s="560">
        <v>42950.35</v>
      </c>
      <c r="AO37" s="560">
        <v>6705.84</v>
      </c>
      <c r="AP37" s="560">
        <v>0</v>
      </c>
      <c r="AQ37" s="560">
        <v>0</v>
      </c>
      <c r="AR37" s="560">
        <f t="shared" si="28"/>
        <v>362651.08</v>
      </c>
      <c r="AS37" s="579">
        <v>723850</v>
      </c>
      <c r="AT37" s="559">
        <v>0</v>
      </c>
      <c r="AU37" s="560">
        <v>0</v>
      </c>
      <c r="AV37" s="560">
        <f t="shared" ref="AV37:AV43" si="56">(BF37-AT37-AU37)/10</f>
        <v>0</v>
      </c>
      <c r="AW37" s="560">
        <f t="shared" ref="AW37:AW43" si="57">(BF37-AT37-AU37-AV37)/9</f>
        <v>0</v>
      </c>
      <c r="AX37" s="560">
        <v>0</v>
      </c>
      <c r="AY37" s="560">
        <v>0</v>
      </c>
      <c r="AZ37" s="560">
        <f t="shared" si="33"/>
        <v>0</v>
      </c>
      <c r="BA37" s="560">
        <f t="shared" si="29"/>
        <v>0</v>
      </c>
      <c r="BB37" s="560">
        <f t="shared" si="29"/>
        <v>0</v>
      </c>
      <c r="BC37" s="560">
        <f t="shared" si="29"/>
        <v>0</v>
      </c>
      <c r="BD37" s="560">
        <f t="shared" si="29"/>
        <v>0</v>
      </c>
      <c r="BE37" s="560">
        <f t="shared" si="29"/>
        <v>0</v>
      </c>
      <c r="BF37" s="579">
        <v>0</v>
      </c>
      <c r="BG37" s="559">
        <f t="shared" si="30"/>
        <v>0</v>
      </c>
      <c r="BH37" s="560">
        <f t="shared" si="55"/>
        <v>0</v>
      </c>
      <c r="BI37" s="560">
        <f t="shared" si="55"/>
        <v>0</v>
      </c>
      <c r="BJ37" s="560">
        <f t="shared" si="55"/>
        <v>0</v>
      </c>
      <c r="BK37" s="560">
        <f t="shared" si="55"/>
        <v>0</v>
      </c>
      <c r="BL37" s="560">
        <f t="shared" si="55"/>
        <v>0</v>
      </c>
      <c r="BM37" s="560">
        <f t="shared" si="55"/>
        <v>0</v>
      </c>
      <c r="BN37" s="560">
        <f t="shared" si="55"/>
        <v>0</v>
      </c>
      <c r="BO37" s="560">
        <f t="shared" si="55"/>
        <v>0</v>
      </c>
      <c r="BP37" s="560">
        <f t="shared" si="55"/>
        <v>0</v>
      </c>
      <c r="BQ37" s="560">
        <f t="shared" si="55"/>
        <v>0</v>
      </c>
      <c r="BR37" s="560">
        <f t="shared" si="55"/>
        <v>0</v>
      </c>
      <c r="BS37" s="579">
        <v>0</v>
      </c>
    </row>
    <row r="38" spans="1:71">
      <c r="A38" s="556"/>
      <c r="B38" s="541" t="s">
        <v>74</v>
      </c>
      <c r="C38" s="558" t="s">
        <v>73</v>
      </c>
      <c r="D38" s="559">
        <v>3174795.2700000005</v>
      </c>
      <c r="E38" s="560">
        <v>3513963.4299999997</v>
      </c>
      <c r="F38" s="560">
        <v>3633146</v>
      </c>
      <c r="G38" s="560">
        <v>3598351</v>
      </c>
      <c r="H38" s="560">
        <v>3702733</v>
      </c>
      <c r="I38" s="560">
        <v>3764058</v>
      </c>
      <c r="J38" s="560">
        <v>3742121</v>
      </c>
      <c r="K38" s="560">
        <v>3893649</v>
      </c>
      <c r="L38" s="560">
        <v>7318288</v>
      </c>
      <c r="M38" s="560">
        <v>3818746</v>
      </c>
      <c r="N38" s="560">
        <v>4248797</v>
      </c>
      <c r="O38" s="560">
        <v>5012709.4999999963</v>
      </c>
      <c r="P38" s="560">
        <f t="shared" si="32"/>
        <v>3130428.799999997</v>
      </c>
      <c r="Q38" s="579">
        <v>52551786</v>
      </c>
      <c r="R38" s="559">
        <v>3417698</v>
      </c>
      <c r="S38" s="560">
        <v>3392166</v>
      </c>
      <c r="T38" s="560">
        <v>3150980</v>
      </c>
      <c r="U38" s="560">
        <v>3592809</v>
      </c>
      <c r="V38" s="560">
        <v>3565912</v>
      </c>
      <c r="W38" s="560">
        <v>6005751</v>
      </c>
      <c r="X38" s="560">
        <v>4093092</v>
      </c>
      <c r="Y38" s="560">
        <v>4249512</v>
      </c>
      <c r="Z38" s="560">
        <v>3657992.8999999976</v>
      </c>
      <c r="AA38" s="560">
        <v>4538987</v>
      </c>
      <c r="AB38" s="560">
        <v>3550251</v>
      </c>
      <c r="AC38" s="560">
        <v>4240912</v>
      </c>
      <c r="AD38" s="560">
        <f t="shared" si="27"/>
        <v>2146609.1000000015</v>
      </c>
      <c r="AE38" s="579">
        <v>49602672</v>
      </c>
      <c r="AF38" s="559">
        <v>2913542</v>
      </c>
      <c r="AG38" s="560">
        <v>3488907</v>
      </c>
      <c r="AH38" s="560">
        <v>3511823</v>
      </c>
      <c r="AI38" s="560">
        <v>4213161</v>
      </c>
      <c r="AJ38" s="560">
        <v>3200224</v>
      </c>
      <c r="AK38" s="560">
        <v>3540837</v>
      </c>
      <c r="AL38" s="560">
        <v>3025250.7699999949</v>
      </c>
      <c r="AM38" s="560">
        <v>3617158</v>
      </c>
      <c r="AN38" s="560">
        <v>7638315</v>
      </c>
      <c r="AO38" s="560">
        <v>4181328.5700000012</v>
      </c>
      <c r="AP38" s="560">
        <v>3223285</v>
      </c>
      <c r="AQ38" s="560">
        <v>3822465.6899999976</v>
      </c>
      <c r="AR38" s="560">
        <f t="shared" si="28"/>
        <v>3905537.9700000063</v>
      </c>
      <c r="AS38" s="579">
        <v>50281835</v>
      </c>
      <c r="AT38" s="559">
        <v>2584026</v>
      </c>
      <c r="AU38" s="560">
        <v>3479665</v>
      </c>
      <c r="AV38" s="560">
        <v>3293110</v>
      </c>
      <c r="AW38" s="560">
        <v>3210545</v>
      </c>
      <c r="AX38" s="560">
        <v>3559262</v>
      </c>
      <c r="AY38" s="560">
        <v>3442362.5899999971</v>
      </c>
      <c r="AZ38" s="560">
        <f t="shared" si="33"/>
        <v>4322001.4016666673</v>
      </c>
      <c r="BA38" s="560">
        <f t="shared" si="29"/>
        <v>4322001.4016666673</v>
      </c>
      <c r="BB38" s="560">
        <f t="shared" si="29"/>
        <v>4322001.4016666673</v>
      </c>
      <c r="BC38" s="560">
        <f t="shared" si="29"/>
        <v>4322001.4016666673</v>
      </c>
      <c r="BD38" s="560">
        <f t="shared" si="29"/>
        <v>4322001.4016666673</v>
      </c>
      <c r="BE38" s="560">
        <f t="shared" si="29"/>
        <v>4322001.4016666673</v>
      </c>
      <c r="BF38" s="579">
        <v>45500979</v>
      </c>
      <c r="BG38" s="559">
        <f t="shared" si="30"/>
        <v>4495045.583333333</v>
      </c>
      <c r="BH38" s="560">
        <f t="shared" si="55"/>
        <v>4495045.583333333</v>
      </c>
      <c r="BI38" s="560">
        <f t="shared" si="55"/>
        <v>4495045.583333333</v>
      </c>
      <c r="BJ38" s="560">
        <f t="shared" si="55"/>
        <v>4495045.583333333</v>
      </c>
      <c r="BK38" s="560">
        <f t="shared" si="55"/>
        <v>4495045.583333333</v>
      </c>
      <c r="BL38" s="560">
        <f t="shared" si="55"/>
        <v>4495045.583333333</v>
      </c>
      <c r="BM38" s="560">
        <f t="shared" si="55"/>
        <v>4495045.583333333</v>
      </c>
      <c r="BN38" s="560">
        <f t="shared" si="55"/>
        <v>4495045.583333333</v>
      </c>
      <c r="BO38" s="560">
        <f t="shared" si="55"/>
        <v>4495045.583333333</v>
      </c>
      <c r="BP38" s="560">
        <f t="shared" si="55"/>
        <v>4495045.583333333</v>
      </c>
      <c r="BQ38" s="560">
        <f t="shared" si="55"/>
        <v>4495045.583333333</v>
      </c>
      <c r="BR38" s="560">
        <f t="shared" si="55"/>
        <v>4495045.583333333</v>
      </c>
      <c r="BS38" s="579">
        <v>53940547</v>
      </c>
    </row>
    <row r="39" spans="1:71">
      <c r="A39" s="556"/>
      <c r="B39" s="541" t="s">
        <v>132</v>
      </c>
      <c r="C39" s="558" t="s">
        <v>342</v>
      </c>
      <c r="D39" s="559">
        <v>195069.05</v>
      </c>
      <c r="E39" s="560">
        <v>216037.34</v>
      </c>
      <c r="F39" s="560">
        <v>223370</v>
      </c>
      <c r="G39" s="560">
        <v>221208</v>
      </c>
      <c r="H39" s="560">
        <v>227764</v>
      </c>
      <c r="I39" s="560">
        <v>231475</v>
      </c>
      <c r="J39" s="560">
        <v>230161</v>
      </c>
      <c r="K39" s="560">
        <v>239601</v>
      </c>
      <c r="L39" s="560">
        <v>535710</v>
      </c>
      <c r="M39" s="560">
        <v>234948</v>
      </c>
      <c r="N39" s="560">
        <v>523501</v>
      </c>
      <c r="O39" s="560">
        <v>308258.63999999996</v>
      </c>
      <c r="P39" s="560">
        <f t="shared" si="32"/>
        <v>-153047.03000000026</v>
      </c>
      <c r="Q39" s="579">
        <v>3234056</v>
      </c>
      <c r="R39" s="559">
        <v>303192</v>
      </c>
      <c r="S39" s="560">
        <v>301096</v>
      </c>
      <c r="T39" s="560">
        <v>279650</v>
      </c>
      <c r="U39" s="560">
        <v>318801</v>
      </c>
      <c r="V39" s="560">
        <v>316561</v>
      </c>
      <c r="W39" s="560">
        <v>533152</v>
      </c>
      <c r="X39" s="560">
        <v>363157</v>
      </c>
      <c r="Y39" s="560">
        <v>377221</v>
      </c>
      <c r="Z39" s="560">
        <v>364627.43999999959</v>
      </c>
      <c r="AA39" s="560">
        <v>402542</v>
      </c>
      <c r="AB39" s="560">
        <v>532041</v>
      </c>
      <c r="AC39" s="560">
        <v>376611</v>
      </c>
      <c r="AD39" s="560">
        <f t="shared" si="27"/>
        <v>-241347.43999999948</v>
      </c>
      <c r="AE39" s="579">
        <v>4227304</v>
      </c>
      <c r="AF39" s="559">
        <v>323735</v>
      </c>
      <c r="AG39" s="560">
        <v>388497</v>
      </c>
      <c r="AH39" s="560">
        <v>391009</v>
      </c>
      <c r="AI39" s="560">
        <v>470286</v>
      </c>
      <c r="AJ39" s="560">
        <v>319639</v>
      </c>
      <c r="AK39" s="560">
        <v>394139</v>
      </c>
      <c r="AL39" s="560">
        <v>90176.07000000024</v>
      </c>
      <c r="AM39" s="560">
        <v>403115</v>
      </c>
      <c r="AN39" s="560">
        <v>850442</v>
      </c>
      <c r="AO39" s="560">
        <v>465821.33999999985</v>
      </c>
      <c r="AP39" s="560">
        <v>285910</v>
      </c>
      <c r="AQ39" s="560">
        <v>426301.20999999967</v>
      </c>
      <c r="AR39" s="560">
        <f t="shared" si="28"/>
        <v>786155.37999999989</v>
      </c>
      <c r="AS39" s="579">
        <v>5595226</v>
      </c>
      <c r="AT39" s="559">
        <v>267362</v>
      </c>
      <c r="AU39" s="560">
        <v>360842</v>
      </c>
      <c r="AV39" s="560">
        <v>341557</v>
      </c>
      <c r="AW39" s="560">
        <v>410328</v>
      </c>
      <c r="AX39" s="560">
        <v>367118</v>
      </c>
      <c r="AY39" s="560">
        <v>356388.38999999996</v>
      </c>
      <c r="AZ39" s="560">
        <f t="shared" si="33"/>
        <v>433710.76833333331</v>
      </c>
      <c r="BA39" s="560">
        <f t="shared" si="29"/>
        <v>433710.76833333331</v>
      </c>
      <c r="BB39" s="560">
        <f t="shared" si="29"/>
        <v>433710.76833333331</v>
      </c>
      <c r="BC39" s="560">
        <f t="shared" si="29"/>
        <v>433710.76833333331</v>
      </c>
      <c r="BD39" s="560">
        <f t="shared" si="29"/>
        <v>433710.76833333331</v>
      </c>
      <c r="BE39" s="560">
        <f t="shared" si="29"/>
        <v>433710.76833333331</v>
      </c>
      <c r="BF39" s="579">
        <v>4705860</v>
      </c>
      <c r="BG39" s="559">
        <f t="shared" si="30"/>
        <v>380882.75</v>
      </c>
      <c r="BH39" s="560">
        <f t="shared" si="55"/>
        <v>380882.75</v>
      </c>
      <c r="BI39" s="560">
        <f t="shared" si="55"/>
        <v>380882.75</v>
      </c>
      <c r="BJ39" s="560">
        <f t="shared" si="55"/>
        <v>380882.75</v>
      </c>
      <c r="BK39" s="560">
        <f t="shared" si="55"/>
        <v>380882.75</v>
      </c>
      <c r="BL39" s="560">
        <f t="shared" si="55"/>
        <v>380882.75</v>
      </c>
      <c r="BM39" s="560">
        <f t="shared" si="55"/>
        <v>380882.75</v>
      </c>
      <c r="BN39" s="560">
        <f t="shared" si="55"/>
        <v>380882.75</v>
      </c>
      <c r="BO39" s="560">
        <f t="shared" si="55"/>
        <v>380882.75</v>
      </c>
      <c r="BP39" s="560">
        <f t="shared" si="55"/>
        <v>380882.75</v>
      </c>
      <c r="BQ39" s="560">
        <f t="shared" si="55"/>
        <v>380882.75</v>
      </c>
      <c r="BR39" s="560">
        <f t="shared" si="55"/>
        <v>380882.75</v>
      </c>
      <c r="BS39" s="579">
        <v>4570593</v>
      </c>
    </row>
    <row r="40" spans="1:71">
      <c r="A40" s="556"/>
      <c r="B40" s="541" t="s">
        <v>365</v>
      </c>
      <c r="C40" s="558" t="s">
        <v>364</v>
      </c>
      <c r="D40" s="559">
        <v>0</v>
      </c>
      <c r="E40" s="560">
        <v>0</v>
      </c>
      <c r="F40" s="560">
        <f>($Q40-SUM($D40:E40))/10</f>
        <v>0</v>
      </c>
      <c r="G40" s="560">
        <f>($Q40-SUM($D40:F40))/9</f>
        <v>0</v>
      </c>
      <c r="H40" s="560">
        <f>($Q40-SUM($D40:G40))/8</f>
        <v>0</v>
      </c>
      <c r="I40" s="560">
        <f>($Q40-SUM($D40:H40))/7</f>
        <v>0</v>
      </c>
      <c r="J40" s="560">
        <f>($Q40-SUM($D40:I40))/6</f>
        <v>0</v>
      </c>
      <c r="K40" s="560">
        <f>($Q40-SUM($D40:J40))/5</f>
        <v>0</v>
      </c>
      <c r="L40" s="560">
        <f>($Q40-SUM($D40:K40))/4</f>
        <v>0</v>
      </c>
      <c r="M40" s="560">
        <f>(Q40-(D40+E40+F40+G40+H40+I40+J40+K40+L40))/3</f>
        <v>0</v>
      </c>
      <c r="N40" s="560">
        <v>0</v>
      </c>
      <c r="O40" s="560">
        <v>0</v>
      </c>
      <c r="P40" s="560">
        <f t="shared" si="32"/>
        <v>0</v>
      </c>
      <c r="Q40" s="579">
        <v>0</v>
      </c>
      <c r="R40" s="559">
        <v>0</v>
      </c>
      <c r="S40" s="560">
        <f t="shared" ref="S40:S43" si="58">(AE40-R40)/11</f>
        <v>0</v>
      </c>
      <c r="T40" s="560">
        <f t="shared" ref="T40:T43" si="59">(AE40-R40-S40)/10</f>
        <v>0</v>
      </c>
      <c r="U40" s="560">
        <f t="shared" si="39"/>
        <v>0</v>
      </c>
      <c r="V40" s="560">
        <f t="shared" si="40"/>
        <v>0</v>
      </c>
      <c r="W40" s="560">
        <f t="shared" si="41"/>
        <v>0</v>
      </c>
      <c r="X40" s="560">
        <f t="shared" si="42"/>
        <v>0</v>
      </c>
      <c r="Y40" s="560">
        <v>0</v>
      </c>
      <c r="Z40" s="560">
        <f t="shared" si="43"/>
        <v>0</v>
      </c>
      <c r="AA40" s="560">
        <f t="shared" ref="AA40:AA43" si="60">(AE40-R40-S40-T40-U40-V40-W40-X40-Y40-Z40)/3</f>
        <v>0</v>
      </c>
      <c r="AB40" s="560">
        <f t="shared" si="44"/>
        <v>0</v>
      </c>
      <c r="AC40" s="560">
        <v>0</v>
      </c>
      <c r="AD40" s="560">
        <f t="shared" si="27"/>
        <v>0</v>
      </c>
      <c r="AE40" s="579">
        <v>0</v>
      </c>
      <c r="AF40" s="559">
        <v>0</v>
      </c>
      <c r="AG40" s="560">
        <v>0</v>
      </c>
      <c r="AH40" s="560">
        <f t="shared" si="47"/>
        <v>0</v>
      </c>
      <c r="AI40" s="560">
        <f t="shared" si="48"/>
        <v>0</v>
      </c>
      <c r="AJ40" s="560">
        <f t="shared" si="19"/>
        <v>0</v>
      </c>
      <c r="AK40" s="560">
        <v>0</v>
      </c>
      <c r="AL40" s="560">
        <f t="shared" si="50"/>
        <v>0</v>
      </c>
      <c r="AM40" s="560">
        <f t="shared" si="51"/>
        <v>0</v>
      </c>
      <c r="AN40" s="560">
        <f t="shared" si="52"/>
        <v>0</v>
      </c>
      <c r="AO40" s="560">
        <v>0</v>
      </c>
      <c r="AP40" s="560">
        <f t="shared" ref="AP40" si="61">(AS40-AF40-AG40-AH40-AI40-AJ40-AK40-AL40-AM40-AN40-AO40)/2</f>
        <v>0</v>
      </c>
      <c r="AQ40" s="560">
        <f t="shared" si="54"/>
        <v>0</v>
      </c>
      <c r="AR40" s="560">
        <f t="shared" si="28"/>
        <v>0</v>
      </c>
      <c r="AS40" s="579">
        <v>0</v>
      </c>
      <c r="AT40" s="559">
        <v>0</v>
      </c>
      <c r="AU40" s="560">
        <f t="shared" ref="AU40" si="62">(BF40-AT40)/11</f>
        <v>0</v>
      </c>
      <c r="AV40" s="560">
        <f t="shared" si="56"/>
        <v>0</v>
      </c>
      <c r="AW40" s="560">
        <f t="shared" si="57"/>
        <v>0</v>
      </c>
      <c r="AX40" s="560">
        <v>0</v>
      </c>
      <c r="AY40" s="560">
        <f t="shared" ref="AY40:AY43" si="63">(BF40-AF40-AG40-AH40-AI40-AJ40)/7</f>
        <v>0</v>
      </c>
      <c r="AZ40" s="560">
        <f t="shared" si="33"/>
        <v>0</v>
      </c>
      <c r="BA40" s="560">
        <f t="shared" si="29"/>
        <v>0</v>
      </c>
      <c r="BB40" s="560">
        <f t="shared" si="29"/>
        <v>0</v>
      </c>
      <c r="BC40" s="560">
        <f t="shared" si="29"/>
        <v>0</v>
      </c>
      <c r="BD40" s="560">
        <f t="shared" si="29"/>
        <v>0</v>
      </c>
      <c r="BE40" s="560">
        <f t="shared" si="29"/>
        <v>0</v>
      </c>
      <c r="BF40" s="579">
        <v>0</v>
      </c>
      <c r="BG40" s="559">
        <f t="shared" si="30"/>
        <v>0</v>
      </c>
      <c r="BH40" s="560">
        <f t="shared" si="55"/>
        <v>0</v>
      </c>
      <c r="BI40" s="560">
        <f t="shared" si="55"/>
        <v>0</v>
      </c>
      <c r="BJ40" s="560">
        <f t="shared" si="55"/>
        <v>0</v>
      </c>
      <c r="BK40" s="560">
        <f t="shared" si="55"/>
        <v>0</v>
      </c>
      <c r="BL40" s="560">
        <f t="shared" si="55"/>
        <v>0</v>
      </c>
      <c r="BM40" s="560">
        <f t="shared" si="55"/>
        <v>0</v>
      </c>
      <c r="BN40" s="560">
        <f t="shared" si="55"/>
        <v>0</v>
      </c>
      <c r="BO40" s="560">
        <f t="shared" si="55"/>
        <v>0</v>
      </c>
      <c r="BP40" s="560">
        <f t="shared" si="55"/>
        <v>0</v>
      </c>
      <c r="BQ40" s="560">
        <f t="shared" si="55"/>
        <v>0</v>
      </c>
      <c r="BR40" s="560">
        <f t="shared" si="55"/>
        <v>0</v>
      </c>
      <c r="BS40" s="579">
        <v>0</v>
      </c>
    </row>
    <row r="41" spans="1:71">
      <c r="A41" s="556"/>
      <c r="B41" s="541" t="s">
        <v>78</v>
      </c>
      <c r="C41" s="558" t="s">
        <v>343</v>
      </c>
      <c r="D41" s="559">
        <v>470075.18999999994</v>
      </c>
      <c r="E41" s="560">
        <v>520306.4800000001</v>
      </c>
      <c r="F41" s="560">
        <v>537959</v>
      </c>
      <c r="G41" s="560">
        <v>532803</v>
      </c>
      <c r="H41" s="560">
        <v>548273</v>
      </c>
      <c r="I41" s="560">
        <v>557348</v>
      </c>
      <c r="J41" s="560">
        <v>554103</v>
      </c>
      <c r="K41" s="560">
        <v>576555</v>
      </c>
      <c r="L41" s="560">
        <v>1080945</v>
      </c>
      <c r="M41" s="560">
        <v>565458</v>
      </c>
      <c r="N41" s="560">
        <v>1218714</v>
      </c>
      <c r="O41" s="560">
        <v>742259</v>
      </c>
      <c r="P41" s="560">
        <f t="shared" si="32"/>
        <v>-123208.66999999993</v>
      </c>
      <c r="Q41" s="579">
        <v>7781590</v>
      </c>
      <c r="R41" s="559">
        <v>724855</v>
      </c>
      <c r="S41" s="560">
        <v>719475</v>
      </c>
      <c r="T41" s="560">
        <v>668309</v>
      </c>
      <c r="U41" s="560">
        <v>762014</v>
      </c>
      <c r="V41" s="560">
        <v>756336</v>
      </c>
      <c r="W41" s="560">
        <v>1273824</v>
      </c>
      <c r="X41" s="560">
        <v>868116</v>
      </c>
      <c r="Y41" s="560">
        <v>901311</v>
      </c>
      <c r="Z41" s="560">
        <v>577464.5699999996</v>
      </c>
      <c r="AA41" s="560">
        <v>962643</v>
      </c>
      <c r="AB41" s="560">
        <v>424928</v>
      </c>
      <c r="AC41" s="560">
        <v>899514</v>
      </c>
      <c r="AD41" s="560">
        <f t="shared" si="27"/>
        <v>744948.4299999997</v>
      </c>
      <c r="AE41" s="579">
        <v>10283738</v>
      </c>
      <c r="AF41" s="559">
        <v>525008</v>
      </c>
      <c r="AG41" s="560">
        <v>628774</v>
      </c>
      <c r="AH41" s="560">
        <v>632899</v>
      </c>
      <c r="AI41" s="560">
        <v>759455</v>
      </c>
      <c r="AJ41" s="560">
        <v>590976</v>
      </c>
      <c r="AK41" s="560">
        <v>638113</v>
      </c>
      <c r="AL41" s="560">
        <v>534166.37999999919</v>
      </c>
      <c r="AM41" s="560">
        <v>651928</v>
      </c>
      <c r="AN41" s="560">
        <v>1376529</v>
      </c>
      <c r="AO41" s="560">
        <v>753580.63</v>
      </c>
      <c r="AP41" s="560">
        <v>362094</v>
      </c>
      <c r="AQ41" s="560">
        <v>688972.92999999993</v>
      </c>
      <c r="AR41" s="560">
        <f t="shared" si="28"/>
        <v>922822.06000000145</v>
      </c>
      <c r="AS41" s="579">
        <v>9065318</v>
      </c>
      <c r="AT41" s="559">
        <v>404020</v>
      </c>
      <c r="AU41" s="560">
        <v>544143</v>
      </c>
      <c r="AV41" s="560">
        <v>514980</v>
      </c>
      <c r="AW41" s="560">
        <v>573338</v>
      </c>
      <c r="AX41" s="560">
        <v>553519</v>
      </c>
      <c r="AY41" s="560">
        <v>537494.65000000037</v>
      </c>
      <c r="AZ41" s="560">
        <f t="shared" si="33"/>
        <v>662738.72499999998</v>
      </c>
      <c r="BA41" s="560">
        <f t="shared" si="29"/>
        <v>662738.72499999998</v>
      </c>
      <c r="BB41" s="560">
        <f t="shared" si="29"/>
        <v>662738.72499999998</v>
      </c>
      <c r="BC41" s="560">
        <f t="shared" si="29"/>
        <v>662738.72499999998</v>
      </c>
      <c r="BD41" s="560">
        <f t="shared" si="29"/>
        <v>662738.72499999998</v>
      </c>
      <c r="BE41" s="560">
        <f t="shared" si="29"/>
        <v>662738.72499999998</v>
      </c>
      <c r="BF41" s="579">
        <v>7103927</v>
      </c>
      <c r="BG41" s="559">
        <f t="shared" si="30"/>
        <v>601869.83333333337</v>
      </c>
      <c r="BH41" s="560">
        <f t="shared" si="55"/>
        <v>601869.83333333337</v>
      </c>
      <c r="BI41" s="560">
        <f t="shared" si="55"/>
        <v>601869.83333333337</v>
      </c>
      <c r="BJ41" s="560">
        <f t="shared" si="55"/>
        <v>601869.83333333337</v>
      </c>
      <c r="BK41" s="560">
        <f t="shared" si="55"/>
        <v>601869.83333333337</v>
      </c>
      <c r="BL41" s="560">
        <f t="shared" si="55"/>
        <v>601869.83333333337</v>
      </c>
      <c r="BM41" s="560">
        <f t="shared" si="55"/>
        <v>601869.83333333337</v>
      </c>
      <c r="BN41" s="560">
        <f t="shared" si="55"/>
        <v>601869.83333333337</v>
      </c>
      <c r="BO41" s="560">
        <f t="shared" si="55"/>
        <v>601869.83333333337</v>
      </c>
      <c r="BP41" s="560">
        <f t="shared" si="55"/>
        <v>601869.83333333337</v>
      </c>
      <c r="BQ41" s="560">
        <f t="shared" si="55"/>
        <v>601869.83333333337</v>
      </c>
      <c r="BR41" s="560">
        <f t="shared" si="55"/>
        <v>601869.83333333337</v>
      </c>
      <c r="BS41" s="579">
        <v>7222438</v>
      </c>
    </row>
    <row r="42" spans="1:71">
      <c r="A42" s="556"/>
      <c r="B42" s="610" t="s">
        <v>447</v>
      </c>
      <c r="C42" s="558" t="s">
        <v>81</v>
      </c>
      <c r="D42" s="559">
        <v>0</v>
      </c>
      <c r="E42" s="560">
        <v>339.31</v>
      </c>
      <c r="F42" s="560">
        <v>343</v>
      </c>
      <c r="G42" s="560">
        <v>347</v>
      </c>
      <c r="H42" s="560">
        <v>341</v>
      </c>
      <c r="I42" s="560">
        <v>348</v>
      </c>
      <c r="J42" s="560">
        <v>339</v>
      </c>
      <c r="K42" s="560">
        <v>336</v>
      </c>
      <c r="L42" s="560">
        <v>0</v>
      </c>
      <c r="M42" s="560">
        <v>0</v>
      </c>
      <c r="N42" s="560">
        <v>-1038</v>
      </c>
      <c r="O42" s="560">
        <v>0</v>
      </c>
      <c r="P42" s="560">
        <f t="shared" si="32"/>
        <v>-1355.31</v>
      </c>
      <c r="Q42" s="579">
        <v>0</v>
      </c>
      <c r="R42" s="559">
        <v>0</v>
      </c>
      <c r="S42" s="560">
        <v>257074</v>
      </c>
      <c r="T42" s="560">
        <v>302594</v>
      </c>
      <c r="U42" s="560">
        <v>351475</v>
      </c>
      <c r="V42" s="560">
        <v>373376</v>
      </c>
      <c r="W42" s="560">
        <v>373181</v>
      </c>
      <c r="X42" s="560">
        <v>382118</v>
      </c>
      <c r="Y42" s="560">
        <v>388908</v>
      </c>
      <c r="Z42" s="560">
        <v>396298.66</v>
      </c>
      <c r="AA42" s="560">
        <v>371860</v>
      </c>
      <c r="AB42" s="560">
        <v>375677</v>
      </c>
      <c r="AC42" s="560">
        <v>406316</v>
      </c>
      <c r="AD42" s="560">
        <f t="shared" si="27"/>
        <v>-3040887.66</v>
      </c>
      <c r="AE42" s="579">
        <v>937990</v>
      </c>
      <c r="AF42" s="559">
        <v>0</v>
      </c>
      <c r="AG42" s="560">
        <v>390847</v>
      </c>
      <c r="AH42" s="560">
        <v>392361</v>
      </c>
      <c r="AI42" s="560">
        <v>440052</v>
      </c>
      <c r="AJ42" s="560">
        <v>389623</v>
      </c>
      <c r="AK42" s="560">
        <v>370085</v>
      </c>
      <c r="AL42" s="560">
        <v>375831.54000000004</v>
      </c>
      <c r="AM42" s="560">
        <v>439615</v>
      </c>
      <c r="AN42" s="560">
        <v>514569</v>
      </c>
      <c r="AO42" s="560">
        <v>505045.92000000004</v>
      </c>
      <c r="AP42" s="560">
        <v>509996</v>
      </c>
      <c r="AQ42" s="560">
        <v>34069.33</v>
      </c>
      <c r="AR42" s="560">
        <f t="shared" si="28"/>
        <v>-3424104.79</v>
      </c>
      <c r="AS42" s="579">
        <v>937990</v>
      </c>
      <c r="AT42" s="559">
        <v>0</v>
      </c>
      <c r="AU42" s="560">
        <v>482179</v>
      </c>
      <c r="AV42" s="560">
        <v>556947</v>
      </c>
      <c r="AW42" s="560">
        <v>623104</v>
      </c>
      <c r="AX42" s="560">
        <v>688830</v>
      </c>
      <c r="AY42" s="560">
        <v>564903.88000000012</v>
      </c>
      <c r="AZ42" s="560">
        <f t="shared" si="33"/>
        <v>-329662.31333333335</v>
      </c>
      <c r="BA42" s="560">
        <f t="shared" ref="BA42:BE50" si="64">AZ42</f>
        <v>-329662.31333333335</v>
      </c>
      <c r="BB42" s="560">
        <f t="shared" si="64"/>
        <v>-329662.31333333335</v>
      </c>
      <c r="BC42" s="560">
        <f t="shared" si="64"/>
        <v>-329662.31333333335</v>
      </c>
      <c r="BD42" s="560">
        <f t="shared" si="64"/>
        <v>-329662.31333333335</v>
      </c>
      <c r="BE42" s="560">
        <f t="shared" si="64"/>
        <v>-329662.31333333335</v>
      </c>
      <c r="BF42" s="579">
        <v>937990</v>
      </c>
      <c r="BG42" s="559">
        <f t="shared" si="30"/>
        <v>78165.833333333328</v>
      </c>
      <c r="BH42" s="560">
        <f t="shared" si="55"/>
        <v>78165.833333333328</v>
      </c>
      <c r="BI42" s="560">
        <f t="shared" si="55"/>
        <v>78165.833333333328</v>
      </c>
      <c r="BJ42" s="560">
        <f t="shared" si="55"/>
        <v>78165.833333333328</v>
      </c>
      <c r="BK42" s="560">
        <f t="shared" si="55"/>
        <v>78165.833333333328</v>
      </c>
      <c r="BL42" s="560">
        <f t="shared" si="55"/>
        <v>78165.833333333328</v>
      </c>
      <c r="BM42" s="560">
        <f t="shared" si="55"/>
        <v>78165.833333333328</v>
      </c>
      <c r="BN42" s="560">
        <f t="shared" si="55"/>
        <v>78165.833333333328</v>
      </c>
      <c r="BO42" s="560">
        <f t="shared" si="55"/>
        <v>78165.833333333328</v>
      </c>
      <c r="BP42" s="560">
        <f t="shared" si="55"/>
        <v>78165.833333333328</v>
      </c>
      <c r="BQ42" s="560">
        <f t="shared" si="55"/>
        <v>78165.833333333328</v>
      </c>
      <c r="BR42" s="560">
        <f t="shared" si="55"/>
        <v>78165.833333333328</v>
      </c>
      <c r="BS42" s="579">
        <v>937990</v>
      </c>
    </row>
    <row r="43" spans="1:71">
      <c r="A43" s="556"/>
      <c r="B43" s="541" t="s">
        <v>84</v>
      </c>
      <c r="C43" s="558" t="s">
        <v>83</v>
      </c>
      <c r="D43" s="559">
        <v>2221.88</v>
      </c>
      <c r="E43" s="560">
        <v>2388.63</v>
      </c>
      <c r="F43" s="560">
        <v>2405</v>
      </c>
      <c r="G43" s="560">
        <v>2429</v>
      </c>
      <c r="H43" s="560">
        <v>2387</v>
      </c>
      <c r="I43" s="560">
        <v>2434</v>
      </c>
      <c r="J43" s="560">
        <v>2370</v>
      </c>
      <c r="K43" s="560">
        <v>2354</v>
      </c>
      <c r="L43" s="560">
        <v>180</v>
      </c>
      <c r="M43" s="560">
        <v>2355</v>
      </c>
      <c r="N43" s="560">
        <v>2382</v>
      </c>
      <c r="O43" s="560">
        <v>2449</v>
      </c>
      <c r="P43" s="560">
        <f t="shared" si="32"/>
        <v>26.489999999997963</v>
      </c>
      <c r="Q43" s="579">
        <v>26382</v>
      </c>
      <c r="R43" s="559">
        <v>0</v>
      </c>
      <c r="S43" s="560">
        <f t="shared" si="58"/>
        <v>0</v>
      </c>
      <c r="T43" s="560">
        <f t="shared" si="59"/>
        <v>0</v>
      </c>
      <c r="U43" s="560">
        <f t="shared" si="39"/>
        <v>0</v>
      </c>
      <c r="V43" s="560">
        <f t="shared" si="40"/>
        <v>0</v>
      </c>
      <c r="W43" s="560">
        <f t="shared" si="41"/>
        <v>0</v>
      </c>
      <c r="X43" s="560">
        <v>0</v>
      </c>
      <c r="Y43" s="560">
        <f t="shared" ref="Y43" si="65">(AE43-R43-S43-T43-U43-V43-W43-X43)/5</f>
        <v>0</v>
      </c>
      <c r="Z43" s="560">
        <f t="shared" si="43"/>
        <v>0</v>
      </c>
      <c r="AA43" s="560">
        <f t="shared" si="60"/>
        <v>0</v>
      </c>
      <c r="AB43" s="560">
        <v>7370</v>
      </c>
      <c r="AC43" s="560">
        <f t="shared" si="45"/>
        <v>-7370</v>
      </c>
      <c r="AD43" s="560">
        <f t="shared" si="27"/>
        <v>0</v>
      </c>
      <c r="AE43" s="579">
        <v>0</v>
      </c>
      <c r="AF43" s="559">
        <v>0</v>
      </c>
      <c r="AG43" s="560">
        <v>0</v>
      </c>
      <c r="AH43" s="560">
        <v>0</v>
      </c>
      <c r="AI43" s="560">
        <v>0</v>
      </c>
      <c r="AJ43" s="560">
        <v>0</v>
      </c>
      <c r="AK43" s="560">
        <v>0</v>
      </c>
      <c r="AL43" s="560">
        <v>0</v>
      </c>
      <c r="AM43" s="560">
        <v>0</v>
      </c>
      <c r="AN43" s="560">
        <v>7365</v>
      </c>
      <c r="AO43" s="560">
        <v>0</v>
      </c>
      <c r="AP43" s="560">
        <v>0</v>
      </c>
      <c r="AQ43" s="560">
        <v>0</v>
      </c>
      <c r="AR43" s="560">
        <f t="shared" si="28"/>
        <v>25117</v>
      </c>
      <c r="AS43" s="579">
        <v>32482</v>
      </c>
      <c r="AT43" s="559">
        <v>0</v>
      </c>
      <c r="AU43" s="560">
        <v>0</v>
      </c>
      <c r="AV43" s="560">
        <f t="shared" si="56"/>
        <v>0</v>
      </c>
      <c r="AW43" s="560">
        <f t="shared" si="57"/>
        <v>0</v>
      </c>
      <c r="AX43" s="560">
        <f t="shared" ref="AX43" si="66">(BF43-AT43-AU43-AV43-AW43)/8</f>
        <v>0</v>
      </c>
      <c r="AY43" s="560">
        <f t="shared" si="63"/>
        <v>0</v>
      </c>
      <c r="AZ43" s="560">
        <f t="shared" si="33"/>
        <v>0</v>
      </c>
      <c r="BA43" s="560">
        <f t="shared" si="64"/>
        <v>0</v>
      </c>
      <c r="BB43" s="560">
        <f t="shared" si="64"/>
        <v>0</v>
      </c>
      <c r="BC43" s="560">
        <f t="shared" si="64"/>
        <v>0</v>
      </c>
      <c r="BD43" s="560">
        <f t="shared" si="64"/>
        <v>0</v>
      </c>
      <c r="BE43" s="560">
        <f t="shared" si="64"/>
        <v>0</v>
      </c>
      <c r="BF43" s="579">
        <v>0</v>
      </c>
      <c r="BG43" s="559">
        <f t="shared" si="30"/>
        <v>0</v>
      </c>
      <c r="BH43" s="560">
        <f t="shared" si="55"/>
        <v>0</v>
      </c>
      <c r="BI43" s="560">
        <f t="shared" si="55"/>
        <v>0</v>
      </c>
      <c r="BJ43" s="560">
        <f t="shared" si="55"/>
        <v>0</v>
      </c>
      <c r="BK43" s="560">
        <f t="shared" si="55"/>
        <v>0</v>
      </c>
      <c r="BL43" s="560">
        <f t="shared" si="55"/>
        <v>0</v>
      </c>
      <c r="BM43" s="560">
        <f t="shared" si="55"/>
        <v>0</v>
      </c>
      <c r="BN43" s="560">
        <f t="shared" si="55"/>
        <v>0</v>
      </c>
      <c r="BO43" s="560">
        <f t="shared" si="55"/>
        <v>0</v>
      </c>
      <c r="BP43" s="560">
        <f t="shared" si="55"/>
        <v>0</v>
      </c>
      <c r="BQ43" s="560">
        <f t="shared" si="55"/>
        <v>0</v>
      </c>
      <c r="BR43" s="560">
        <f t="shared" si="55"/>
        <v>0</v>
      </c>
      <c r="BS43" s="579">
        <v>0</v>
      </c>
    </row>
    <row r="44" spans="1:71">
      <c r="A44" s="556"/>
      <c r="B44" s="541" t="s">
        <v>491</v>
      </c>
      <c r="C44" s="558" t="s">
        <v>492</v>
      </c>
      <c r="D44" s="559">
        <v>0</v>
      </c>
      <c r="E44" s="560">
        <v>0</v>
      </c>
      <c r="F44" s="560">
        <f>($Q44-SUM($D44:E44))/10</f>
        <v>0</v>
      </c>
      <c r="G44" s="560">
        <f>($Q44-SUM($D44:F44))/9</f>
        <v>0</v>
      </c>
      <c r="H44" s="560">
        <f>($Q44-SUM($D44:G44))/8</f>
        <v>0</v>
      </c>
      <c r="I44" s="560">
        <f>($Q44-SUM($D44:H44))/7</f>
        <v>0</v>
      </c>
      <c r="J44" s="560">
        <f>($Q44-SUM($D44:I44))/6</f>
        <v>0</v>
      </c>
      <c r="K44" s="560">
        <f>($Q44-SUM($D44:J44))/5</f>
        <v>0</v>
      </c>
      <c r="L44" s="560">
        <f>($Q44-SUM($D44:K44))/4</f>
        <v>0</v>
      </c>
      <c r="M44" s="560">
        <f>(Q44-(D44+E44+F44+G44+H44+I44+J44+K44+L44))/3</f>
        <v>0</v>
      </c>
      <c r="N44" s="560">
        <f>(Q44-(D44+E44+F44+G44+H44+I44+J44+K44+L44+M44))/2</f>
        <v>0</v>
      </c>
      <c r="O44" s="560">
        <f t="shared" ref="O44" si="67">Q44-D44-E44-F44-G44-H44-I44-J44-K44-L44-M44-N44</f>
        <v>0</v>
      </c>
      <c r="P44" s="560">
        <f t="shared" si="32"/>
        <v>0</v>
      </c>
      <c r="Q44" s="579">
        <v>0</v>
      </c>
      <c r="R44" s="559">
        <v>0</v>
      </c>
      <c r="S44" s="560">
        <v>0</v>
      </c>
      <c r="T44" s="560">
        <v>0</v>
      </c>
      <c r="U44" s="560">
        <v>0</v>
      </c>
      <c r="V44" s="560">
        <v>0</v>
      </c>
      <c r="W44" s="560">
        <v>0</v>
      </c>
      <c r="X44" s="560">
        <v>0</v>
      </c>
      <c r="Y44" s="560">
        <v>0</v>
      </c>
      <c r="Z44" s="560">
        <v>0</v>
      </c>
      <c r="AA44" s="560">
        <v>0</v>
      </c>
      <c r="AB44" s="560">
        <v>0</v>
      </c>
      <c r="AC44" s="560">
        <v>0</v>
      </c>
      <c r="AD44" s="560">
        <f t="shared" si="27"/>
        <v>128925137</v>
      </c>
      <c r="AE44" s="579">
        <v>128925137</v>
      </c>
      <c r="AF44" s="559">
        <v>0</v>
      </c>
      <c r="AG44" s="560">
        <v>0</v>
      </c>
      <c r="AH44" s="560">
        <v>0</v>
      </c>
      <c r="AI44" s="560">
        <v>0</v>
      </c>
      <c r="AJ44" s="560">
        <v>0</v>
      </c>
      <c r="AK44" s="560">
        <v>0</v>
      </c>
      <c r="AL44" s="560">
        <v>0</v>
      </c>
      <c r="AM44" s="560">
        <v>0</v>
      </c>
      <c r="AN44" s="560">
        <v>0</v>
      </c>
      <c r="AO44" s="560">
        <v>0</v>
      </c>
      <c r="AP44" s="560">
        <v>0</v>
      </c>
      <c r="AQ44" s="560">
        <v>168488826.16999996</v>
      </c>
      <c r="AR44" s="560">
        <f t="shared" si="28"/>
        <v>-0.16999995708465576</v>
      </c>
      <c r="AS44" s="579">
        <v>168488826</v>
      </c>
      <c r="AT44" s="559">
        <v>0</v>
      </c>
      <c r="AU44" s="560">
        <v>0</v>
      </c>
      <c r="AV44" s="560">
        <v>0</v>
      </c>
      <c r="AW44" s="560">
        <v>0</v>
      </c>
      <c r="AX44" s="560">
        <v>0</v>
      </c>
      <c r="AY44" s="560">
        <v>0</v>
      </c>
      <c r="AZ44" s="560">
        <f t="shared" si="33"/>
        <v>7974007.833333333</v>
      </c>
      <c r="BA44" s="560">
        <f t="shared" si="64"/>
        <v>7974007.833333333</v>
      </c>
      <c r="BB44" s="560">
        <f t="shared" si="64"/>
        <v>7974007.833333333</v>
      </c>
      <c r="BC44" s="560">
        <f t="shared" si="64"/>
        <v>7974007.833333333</v>
      </c>
      <c r="BD44" s="560">
        <f t="shared" si="64"/>
        <v>7974007.833333333</v>
      </c>
      <c r="BE44" s="560">
        <f t="shared" si="64"/>
        <v>7974007.833333333</v>
      </c>
      <c r="BF44" s="579">
        <v>47844047</v>
      </c>
      <c r="BG44" s="559">
        <f t="shared" si="30"/>
        <v>0</v>
      </c>
      <c r="BH44" s="560">
        <f t="shared" si="55"/>
        <v>0</v>
      </c>
      <c r="BI44" s="560">
        <f t="shared" si="55"/>
        <v>0</v>
      </c>
      <c r="BJ44" s="560">
        <f t="shared" si="55"/>
        <v>0</v>
      </c>
      <c r="BK44" s="560">
        <f t="shared" si="55"/>
        <v>0</v>
      </c>
      <c r="BL44" s="560">
        <f t="shared" si="55"/>
        <v>0</v>
      </c>
      <c r="BM44" s="560">
        <f t="shared" si="55"/>
        <v>0</v>
      </c>
      <c r="BN44" s="560">
        <f t="shared" si="55"/>
        <v>0</v>
      </c>
      <c r="BO44" s="560">
        <f t="shared" si="55"/>
        <v>0</v>
      </c>
      <c r="BP44" s="560">
        <f t="shared" si="55"/>
        <v>0</v>
      </c>
      <c r="BQ44" s="560">
        <f t="shared" si="55"/>
        <v>0</v>
      </c>
      <c r="BR44" s="560">
        <f t="shared" si="55"/>
        <v>0</v>
      </c>
      <c r="BS44" s="579">
        <v>0</v>
      </c>
    </row>
    <row r="45" spans="1:71" ht="15" customHeight="1">
      <c r="A45" s="556"/>
      <c r="B45" s="541" t="s">
        <v>125</v>
      </c>
      <c r="C45" s="558" t="s">
        <v>112</v>
      </c>
      <c r="D45" s="559">
        <v>439710.68</v>
      </c>
      <c r="E45" s="560">
        <v>486701</v>
      </c>
      <c r="F45" s="560">
        <v>503213</v>
      </c>
      <c r="G45" s="560">
        <v>498386</v>
      </c>
      <c r="H45" s="560">
        <v>512866</v>
      </c>
      <c r="I45" s="560">
        <v>521351</v>
      </c>
      <c r="J45" s="560">
        <v>518320</v>
      </c>
      <c r="K45" s="560">
        <v>539329</v>
      </c>
      <c r="L45" s="560">
        <v>1104349</v>
      </c>
      <c r="M45" s="560">
        <v>528943</v>
      </c>
      <c r="N45" s="560">
        <v>481798</v>
      </c>
      <c r="O45" s="560">
        <v>694320</v>
      </c>
      <c r="P45" s="560">
        <f t="shared" si="32"/>
        <v>450025.3200000003</v>
      </c>
      <c r="Q45" s="579">
        <v>7279312</v>
      </c>
      <c r="R45" s="559">
        <v>429538</v>
      </c>
      <c r="S45" s="560">
        <v>426349</v>
      </c>
      <c r="T45" s="560">
        <v>396033</v>
      </c>
      <c r="U45" s="560">
        <v>451553</v>
      </c>
      <c r="V45" s="560">
        <v>448189</v>
      </c>
      <c r="W45" s="560">
        <v>754837</v>
      </c>
      <c r="X45" s="560">
        <v>514421</v>
      </c>
      <c r="Y45" s="560">
        <v>534102</v>
      </c>
      <c r="Z45" s="560">
        <v>657600.70000000123</v>
      </c>
      <c r="AA45" s="560">
        <v>570435</v>
      </c>
      <c r="AB45" s="560">
        <v>773490</v>
      </c>
      <c r="AC45" s="560">
        <v>533043</v>
      </c>
      <c r="AD45" s="560">
        <f t="shared" si="27"/>
        <v>-346051.70000000112</v>
      </c>
      <c r="AE45" s="579">
        <v>6143539</v>
      </c>
      <c r="AF45" s="559">
        <v>458801</v>
      </c>
      <c r="AG45" s="560">
        <v>549501</v>
      </c>
      <c r="AH45" s="560">
        <v>553106</v>
      </c>
      <c r="AI45" s="560">
        <v>663736</v>
      </c>
      <c r="AJ45" s="560">
        <v>703293</v>
      </c>
      <c r="AK45" s="560">
        <v>557662</v>
      </c>
      <c r="AL45" s="560">
        <v>875830.12999999954</v>
      </c>
      <c r="AM45" s="560">
        <v>569741</v>
      </c>
      <c r="AN45" s="560">
        <v>1203026</v>
      </c>
      <c r="AO45" s="542">
        <v>658580.38999999955</v>
      </c>
      <c r="AP45" s="560">
        <v>1148375</v>
      </c>
      <c r="AQ45" s="560">
        <v>602131.60000000021</v>
      </c>
      <c r="AR45" s="560">
        <f t="shared" si="28"/>
        <v>-628479.11999999918</v>
      </c>
      <c r="AS45" s="579">
        <v>7915304</v>
      </c>
      <c r="AT45" s="559">
        <v>586192</v>
      </c>
      <c r="AU45" s="560">
        <v>789566</v>
      </c>
      <c r="AV45" s="560">
        <v>747254</v>
      </c>
      <c r="AW45" s="560">
        <v>798857</v>
      </c>
      <c r="AX45" s="560">
        <v>803169</v>
      </c>
      <c r="AY45" s="560">
        <v>779916.50000000023</v>
      </c>
      <c r="AZ45" s="560">
        <f t="shared" si="33"/>
        <v>967063.75</v>
      </c>
      <c r="BA45" s="560">
        <f t="shared" si="64"/>
        <v>967063.75</v>
      </c>
      <c r="BB45" s="560">
        <f t="shared" si="64"/>
        <v>967063.75</v>
      </c>
      <c r="BC45" s="560">
        <f t="shared" si="64"/>
        <v>967063.75</v>
      </c>
      <c r="BD45" s="560">
        <f t="shared" si="64"/>
        <v>967063.75</v>
      </c>
      <c r="BE45" s="560">
        <f t="shared" si="64"/>
        <v>967063.75</v>
      </c>
      <c r="BF45" s="579">
        <v>10307337</v>
      </c>
      <c r="BG45" s="559">
        <f t="shared" si="30"/>
        <v>825084.91666666663</v>
      </c>
      <c r="BH45" s="560">
        <f t="shared" si="55"/>
        <v>825084.91666666663</v>
      </c>
      <c r="BI45" s="560">
        <f t="shared" si="55"/>
        <v>825084.91666666663</v>
      </c>
      <c r="BJ45" s="560">
        <f t="shared" si="55"/>
        <v>825084.91666666663</v>
      </c>
      <c r="BK45" s="560">
        <f t="shared" si="55"/>
        <v>825084.91666666663</v>
      </c>
      <c r="BL45" s="560">
        <f t="shared" si="55"/>
        <v>825084.91666666663</v>
      </c>
      <c r="BM45" s="560">
        <f t="shared" si="55"/>
        <v>825084.91666666663</v>
      </c>
      <c r="BN45" s="560">
        <f t="shared" si="55"/>
        <v>825084.91666666663</v>
      </c>
      <c r="BO45" s="560">
        <f t="shared" si="55"/>
        <v>825084.91666666663</v>
      </c>
      <c r="BP45" s="560">
        <f t="shared" si="55"/>
        <v>825084.91666666663</v>
      </c>
      <c r="BQ45" s="560">
        <f t="shared" si="55"/>
        <v>825084.91666666663</v>
      </c>
      <c r="BR45" s="560">
        <f t="shared" si="55"/>
        <v>825084.91666666663</v>
      </c>
      <c r="BS45" s="579">
        <v>9901019</v>
      </c>
    </row>
    <row r="46" spans="1:71">
      <c r="A46" s="580" t="s">
        <v>344</v>
      </c>
      <c r="B46" s="607"/>
      <c r="C46" s="582"/>
      <c r="D46" s="583">
        <f t="shared" ref="D46:O46" si="68">SUM(D29:D45)</f>
        <v>4281894.53</v>
      </c>
      <c r="E46" s="584">
        <f t="shared" si="68"/>
        <v>39660714.120000005</v>
      </c>
      <c r="F46" s="584">
        <f t="shared" si="68"/>
        <v>42339149</v>
      </c>
      <c r="G46" s="584">
        <f t="shared" si="68"/>
        <v>42020633</v>
      </c>
      <c r="H46" s="584">
        <f t="shared" si="68"/>
        <v>43105196</v>
      </c>
      <c r="I46" s="584">
        <f t="shared" si="68"/>
        <v>32026649</v>
      </c>
      <c r="J46" s="584">
        <f t="shared" si="68"/>
        <v>32008459</v>
      </c>
      <c r="K46" s="584">
        <f t="shared" si="68"/>
        <v>33284599</v>
      </c>
      <c r="L46" s="584">
        <f t="shared" si="68"/>
        <v>38493365</v>
      </c>
      <c r="M46" s="584">
        <f t="shared" si="68"/>
        <v>32728016</v>
      </c>
      <c r="N46" s="584">
        <f t="shared" si="68"/>
        <v>10765981</v>
      </c>
      <c r="O46" s="584">
        <f t="shared" si="68"/>
        <v>7111711.929999996</v>
      </c>
      <c r="P46" s="584">
        <f t="shared" si="32"/>
        <v>-140723699.57999998</v>
      </c>
      <c r="Q46" s="579">
        <f t="shared" ref="Q46:AC46" si="69">SUM(Q29:Q45)</f>
        <v>217102668</v>
      </c>
      <c r="R46" s="583">
        <f t="shared" si="69"/>
        <v>4875303</v>
      </c>
      <c r="S46" s="584">
        <f t="shared" si="69"/>
        <v>42036940</v>
      </c>
      <c r="T46" s="584">
        <f t="shared" si="69"/>
        <v>46414783</v>
      </c>
      <c r="U46" s="584">
        <f t="shared" si="69"/>
        <v>46936755</v>
      </c>
      <c r="V46" s="584">
        <f t="shared" si="69"/>
        <v>35014872</v>
      </c>
      <c r="W46" s="584">
        <f t="shared" si="69"/>
        <v>37691596</v>
      </c>
      <c r="X46" s="584">
        <f t="shared" si="69"/>
        <v>35623683</v>
      </c>
      <c r="Y46" s="584">
        <f t="shared" si="69"/>
        <v>8259405</v>
      </c>
      <c r="Z46" s="584">
        <f t="shared" si="69"/>
        <v>6077348.9399999976</v>
      </c>
      <c r="AA46" s="584">
        <f t="shared" si="69"/>
        <v>7614205</v>
      </c>
      <c r="AB46" s="584">
        <f t="shared" si="69"/>
        <v>3552151</v>
      </c>
      <c r="AC46" s="584">
        <f t="shared" si="69"/>
        <v>-83006789</v>
      </c>
      <c r="AD46" s="609">
        <f t="shared" si="27"/>
        <v>164665377.06</v>
      </c>
      <c r="AE46" s="579">
        <f t="shared" ref="AE46:AQ46" si="70">SUM(AE29:AE45)</f>
        <v>355755630</v>
      </c>
      <c r="AF46" s="583">
        <f t="shared" si="70"/>
        <v>4248609</v>
      </c>
      <c r="AG46" s="584">
        <f t="shared" si="70"/>
        <v>45261980</v>
      </c>
      <c r="AH46" s="584">
        <f t="shared" si="70"/>
        <v>48245619</v>
      </c>
      <c r="AI46" s="584">
        <f t="shared" si="70"/>
        <v>58453524</v>
      </c>
      <c r="AJ46" s="584">
        <f t="shared" si="70"/>
        <v>30833777.550000001</v>
      </c>
      <c r="AK46" s="584">
        <f t="shared" si="70"/>
        <v>30978978</v>
      </c>
      <c r="AL46" s="584">
        <f t="shared" si="70"/>
        <v>28153710.939999968</v>
      </c>
      <c r="AM46" s="584">
        <f t="shared" si="70"/>
        <v>1931840.92</v>
      </c>
      <c r="AN46" s="584">
        <f t="shared" si="70"/>
        <v>39186199.200000003</v>
      </c>
      <c r="AO46" s="584">
        <f t="shared" si="70"/>
        <v>-40123546.789999999</v>
      </c>
      <c r="AP46" s="584">
        <f t="shared" si="70"/>
        <v>-18021376</v>
      </c>
      <c r="AQ46" s="584">
        <f t="shared" si="70"/>
        <v>197564180.89999995</v>
      </c>
      <c r="AR46" s="609">
        <f t="shared" si="28"/>
        <v>-27295709.719999909</v>
      </c>
      <c r="AS46" s="579">
        <f>SUM(AS29:AS45)</f>
        <v>399417787</v>
      </c>
      <c r="AT46" s="583">
        <f>SUM(AT29:AT45)</f>
        <v>3865376</v>
      </c>
      <c r="AU46" s="583">
        <f t="shared" ref="AU46:AY46" si="71">SUM(AU29:AU45)</f>
        <v>44011207.640000001</v>
      </c>
      <c r="AV46" s="583">
        <f t="shared" si="71"/>
        <v>47808176</v>
      </c>
      <c r="AW46" s="583">
        <f t="shared" si="71"/>
        <v>48507327</v>
      </c>
      <c r="AX46" s="583">
        <f t="shared" si="71"/>
        <v>49767182.060000002</v>
      </c>
      <c r="AY46" s="583">
        <f t="shared" si="71"/>
        <v>47838636.529999994</v>
      </c>
      <c r="AZ46" s="583">
        <f t="shared" si="33"/>
        <v>5934453.7950000027</v>
      </c>
      <c r="BA46" s="584">
        <f t="shared" si="64"/>
        <v>5934453.7950000027</v>
      </c>
      <c r="BB46" s="584">
        <f t="shared" si="64"/>
        <v>5934453.7950000027</v>
      </c>
      <c r="BC46" s="584">
        <f t="shared" si="64"/>
        <v>5934453.7950000027</v>
      </c>
      <c r="BD46" s="584">
        <f t="shared" si="64"/>
        <v>5934453.7950000027</v>
      </c>
      <c r="BE46" s="584">
        <f t="shared" si="64"/>
        <v>5934453.7950000027</v>
      </c>
      <c r="BF46" s="579">
        <f>SUM(BF29:BF45)</f>
        <v>277404628</v>
      </c>
      <c r="BG46" s="583">
        <f t="shared" si="30"/>
        <v>19739056.75</v>
      </c>
      <c r="BH46" s="584">
        <f t="shared" si="55"/>
        <v>19739056.75</v>
      </c>
      <c r="BI46" s="584">
        <f t="shared" si="55"/>
        <v>19739056.75</v>
      </c>
      <c r="BJ46" s="584">
        <f t="shared" si="55"/>
        <v>19739056.75</v>
      </c>
      <c r="BK46" s="584">
        <f t="shared" si="55"/>
        <v>19739056.75</v>
      </c>
      <c r="BL46" s="584">
        <f t="shared" si="55"/>
        <v>19739056.75</v>
      </c>
      <c r="BM46" s="584">
        <f t="shared" si="55"/>
        <v>19739056.75</v>
      </c>
      <c r="BN46" s="584">
        <f t="shared" si="55"/>
        <v>19739056.75</v>
      </c>
      <c r="BO46" s="584">
        <f t="shared" si="55"/>
        <v>19739056.75</v>
      </c>
      <c r="BP46" s="584">
        <f t="shared" si="55"/>
        <v>19739056.75</v>
      </c>
      <c r="BQ46" s="584">
        <f t="shared" si="55"/>
        <v>19739056.75</v>
      </c>
      <c r="BR46" s="584">
        <f t="shared" si="55"/>
        <v>19739056.75</v>
      </c>
      <c r="BS46" s="579">
        <f>SUM(BS29:BS45)</f>
        <v>236868681</v>
      </c>
    </row>
    <row r="47" spans="1:71" ht="15" customHeight="1">
      <c r="A47" s="556" t="s">
        <v>34</v>
      </c>
      <c r="B47" s="541" t="s">
        <v>87</v>
      </c>
      <c r="C47" s="558" t="s">
        <v>86</v>
      </c>
      <c r="D47" s="559">
        <v>496152.63</v>
      </c>
      <c r="E47" s="560">
        <v>513900.5</v>
      </c>
      <c r="F47" s="560">
        <v>544830</v>
      </c>
      <c r="G47" s="560">
        <v>537541</v>
      </c>
      <c r="H47" s="560">
        <v>542299</v>
      </c>
      <c r="I47" s="560">
        <v>553258</v>
      </c>
      <c r="J47" s="560">
        <v>533940</v>
      </c>
      <c r="K47" s="560">
        <v>526023</v>
      </c>
      <c r="L47" s="560">
        <v>1120356</v>
      </c>
      <c r="M47" s="560">
        <v>525307</v>
      </c>
      <c r="N47" s="560">
        <v>730947</v>
      </c>
      <c r="O47" s="560">
        <v>741420</v>
      </c>
      <c r="P47" s="560">
        <f t="shared" si="32"/>
        <v>-1500384.13</v>
      </c>
      <c r="Q47" s="579">
        <v>5865590</v>
      </c>
      <c r="R47" s="559">
        <v>560853</v>
      </c>
      <c r="S47" s="560">
        <v>519684</v>
      </c>
      <c r="T47" s="560">
        <v>459134</v>
      </c>
      <c r="U47" s="560">
        <v>535122</v>
      </c>
      <c r="V47" s="560">
        <v>544034</v>
      </c>
      <c r="W47" s="560">
        <v>987049</v>
      </c>
      <c r="X47" s="560">
        <v>620632</v>
      </c>
      <c r="Y47" s="560">
        <v>658026</v>
      </c>
      <c r="Z47" s="560">
        <v>519686.9200000001</v>
      </c>
      <c r="AA47" s="560">
        <v>680629</v>
      </c>
      <c r="AB47" s="560">
        <v>610014</v>
      </c>
      <c r="AC47" s="560">
        <v>-1013335</v>
      </c>
      <c r="AD47" s="560">
        <f t="shared" si="27"/>
        <v>272516.08000000007</v>
      </c>
      <c r="AE47" s="579">
        <v>5954045</v>
      </c>
      <c r="AF47" s="559">
        <v>476534</v>
      </c>
      <c r="AG47" s="560">
        <v>506015</v>
      </c>
      <c r="AH47" s="560">
        <v>511921</v>
      </c>
      <c r="AI47" s="560">
        <v>585563</v>
      </c>
      <c r="AJ47" s="560">
        <v>482491</v>
      </c>
      <c r="AK47" s="560">
        <v>528135</v>
      </c>
      <c r="AL47" s="560">
        <v>535619.86999999988</v>
      </c>
      <c r="AM47" s="560">
        <v>551740</v>
      </c>
      <c r="AN47" s="560">
        <v>1334772</v>
      </c>
      <c r="AO47" s="560">
        <v>643880</v>
      </c>
      <c r="AP47" s="560">
        <v>599430</v>
      </c>
      <c r="AQ47" s="560">
        <v>578886.27</v>
      </c>
      <c r="AR47" s="560">
        <f t="shared" si="28"/>
        <v>-1019452.1400000006</v>
      </c>
      <c r="AS47" s="579">
        <v>6315535</v>
      </c>
      <c r="AT47" s="559">
        <v>493813</v>
      </c>
      <c r="AU47" s="560">
        <v>580107</v>
      </c>
      <c r="AV47" s="560">
        <v>581432</v>
      </c>
      <c r="AW47" s="560">
        <v>590382</v>
      </c>
      <c r="AX47" s="560">
        <v>590703</v>
      </c>
      <c r="AY47" s="560">
        <v>569003.2699999999</v>
      </c>
      <c r="AZ47" s="560">
        <f t="shared" si="33"/>
        <v>449780.45500000002</v>
      </c>
      <c r="BA47" s="560">
        <f t="shared" si="64"/>
        <v>449780.45500000002</v>
      </c>
      <c r="BB47" s="560">
        <f t="shared" si="64"/>
        <v>449780.45500000002</v>
      </c>
      <c r="BC47" s="560">
        <f t="shared" si="64"/>
        <v>449780.45500000002</v>
      </c>
      <c r="BD47" s="560">
        <f t="shared" si="64"/>
        <v>449780.45500000002</v>
      </c>
      <c r="BE47" s="560">
        <f t="shared" si="64"/>
        <v>449780.45500000002</v>
      </c>
      <c r="BF47" s="579">
        <v>6104123</v>
      </c>
      <c r="BG47" s="559">
        <f t="shared" si="30"/>
        <v>540457.33333333337</v>
      </c>
      <c r="BH47" s="560">
        <f t="shared" si="55"/>
        <v>540457.33333333337</v>
      </c>
      <c r="BI47" s="560">
        <f t="shared" si="55"/>
        <v>540457.33333333337</v>
      </c>
      <c r="BJ47" s="560">
        <f t="shared" si="55"/>
        <v>540457.33333333337</v>
      </c>
      <c r="BK47" s="560">
        <f t="shared" si="55"/>
        <v>540457.33333333337</v>
      </c>
      <c r="BL47" s="560">
        <f t="shared" si="55"/>
        <v>540457.33333333337</v>
      </c>
      <c r="BM47" s="560">
        <f t="shared" si="55"/>
        <v>540457.33333333337</v>
      </c>
      <c r="BN47" s="560">
        <f t="shared" si="55"/>
        <v>540457.33333333337</v>
      </c>
      <c r="BO47" s="560">
        <f t="shared" si="55"/>
        <v>540457.33333333337</v>
      </c>
      <c r="BP47" s="560">
        <f t="shared" si="55"/>
        <v>540457.33333333337</v>
      </c>
      <c r="BQ47" s="560">
        <f t="shared" si="55"/>
        <v>540457.33333333337</v>
      </c>
      <c r="BR47" s="560">
        <f t="shared" si="55"/>
        <v>540457.33333333337</v>
      </c>
      <c r="BS47" s="579">
        <v>6485488</v>
      </c>
    </row>
    <row r="48" spans="1:71" ht="15" customHeight="1">
      <c r="A48" s="556"/>
      <c r="B48" s="541" t="s">
        <v>155</v>
      </c>
      <c r="C48" s="558" t="s">
        <v>156</v>
      </c>
      <c r="D48" s="559">
        <v>0</v>
      </c>
      <c r="E48" s="560">
        <v>0</v>
      </c>
      <c r="F48" s="560">
        <v>0</v>
      </c>
      <c r="G48" s="560">
        <v>0</v>
      </c>
      <c r="H48" s="560">
        <v>0</v>
      </c>
      <c r="I48" s="560">
        <v>0</v>
      </c>
      <c r="J48" s="560">
        <v>0</v>
      </c>
      <c r="K48" s="560">
        <v>0</v>
      </c>
      <c r="L48" s="560">
        <v>0</v>
      </c>
      <c r="M48" s="560">
        <v>0</v>
      </c>
      <c r="N48" s="560">
        <v>0</v>
      </c>
      <c r="O48" s="560">
        <v>0</v>
      </c>
      <c r="P48" s="560">
        <f t="shared" si="32"/>
        <v>7073</v>
      </c>
      <c r="Q48" s="579">
        <v>7073</v>
      </c>
      <c r="R48" s="559">
        <v>0</v>
      </c>
      <c r="S48" s="560">
        <v>0</v>
      </c>
      <c r="T48" s="560">
        <v>0</v>
      </c>
      <c r="U48" s="560">
        <v>0</v>
      </c>
      <c r="V48" s="560">
        <v>0</v>
      </c>
      <c r="W48" s="560">
        <v>0</v>
      </c>
      <c r="X48" s="560">
        <v>0</v>
      </c>
      <c r="Y48" s="560">
        <v>0</v>
      </c>
      <c r="Z48" s="560">
        <v>0</v>
      </c>
      <c r="AA48" s="560">
        <v>0</v>
      </c>
      <c r="AB48" s="560">
        <v>0</v>
      </c>
      <c r="AC48" s="560">
        <v>0</v>
      </c>
      <c r="AD48" s="560">
        <f t="shared" si="27"/>
        <v>5986</v>
      </c>
      <c r="AE48" s="579">
        <v>5986</v>
      </c>
      <c r="AF48" s="559">
        <v>0</v>
      </c>
      <c r="AG48" s="560">
        <v>0</v>
      </c>
      <c r="AH48" s="560">
        <v>0</v>
      </c>
      <c r="AI48" s="560">
        <v>0</v>
      </c>
      <c r="AJ48" s="560">
        <v>0</v>
      </c>
      <c r="AK48" s="560">
        <v>0</v>
      </c>
      <c r="AL48" s="560">
        <v>0</v>
      </c>
      <c r="AM48" s="560">
        <v>0</v>
      </c>
      <c r="AN48" s="560">
        <v>0</v>
      </c>
      <c r="AO48" s="560">
        <v>0</v>
      </c>
      <c r="AP48" s="560">
        <v>0</v>
      </c>
      <c r="AQ48" s="560">
        <v>0</v>
      </c>
      <c r="AR48" s="560">
        <f t="shared" si="28"/>
        <v>6209</v>
      </c>
      <c r="AS48" s="579">
        <v>6209</v>
      </c>
      <c r="AT48" s="559">
        <v>0</v>
      </c>
      <c r="AU48" s="560">
        <v>0</v>
      </c>
      <c r="AV48" s="560">
        <v>0</v>
      </c>
      <c r="AW48" s="560">
        <v>0</v>
      </c>
      <c r="AX48" s="560">
        <v>0</v>
      </c>
      <c r="AY48" s="560">
        <v>0</v>
      </c>
      <c r="AZ48" s="560">
        <f t="shared" si="33"/>
        <v>1465.3333333333333</v>
      </c>
      <c r="BA48" s="560">
        <f t="shared" si="64"/>
        <v>1465.3333333333333</v>
      </c>
      <c r="BB48" s="560">
        <f t="shared" si="64"/>
        <v>1465.3333333333333</v>
      </c>
      <c r="BC48" s="560">
        <f t="shared" si="64"/>
        <v>1465.3333333333333</v>
      </c>
      <c r="BD48" s="560">
        <f t="shared" si="64"/>
        <v>1465.3333333333333</v>
      </c>
      <c r="BE48" s="560">
        <f t="shared" si="64"/>
        <v>1465.3333333333333</v>
      </c>
      <c r="BF48" s="579">
        <v>8792</v>
      </c>
      <c r="BG48" s="559">
        <f t="shared" si="30"/>
        <v>732.66666666666663</v>
      </c>
      <c r="BH48" s="560">
        <f t="shared" si="55"/>
        <v>732.66666666666663</v>
      </c>
      <c r="BI48" s="560">
        <f t="shared" si="55"/>
        <v>732.66666666666663</v>
      </c>
      <c r="BJ48" s="560">
        <f t="shared" si="55"/>
        <v>732.66666666666663</v>
      </c>
      <c r="BK48" s="560">
        <f t="shared" si="55"/>
        <v>732.66666666666663</v>
      </c>
      <c r="BL48" s="560">
        <f t="shared" si="55"/>
        <v>732.66666666666663</v>
      </c>
      <c r="BM48" s="560">
        <f t="shared" si="55"/>
        <v>732.66666666666663</v>
      </c>
      <c r="BN48" s="560">
        <f t="shared" si="55"/>
        <v>732.66666666666663</v>
      </c>
      <c r="BO48" s="560">
        <f t="shared" si="55"/>
        <v>732.66666666666663</v>
      </c>
      <c r="BP48" s="560">
        <f t="shared" si="55"/>
        <v>732.66666666666663</v>
      </c>
      <c r="BQ48" s="560">
        <f t="shared" si="55"/>
        <v>732.66666666666663</v>
      </c>
      <c r="BR48" s="560">
        <f t="shared" si="55"/>
        <v>732.66666666666663</v>
      </c>
      <c r="BS48" s="579">
        <v>8792</v>
      </c>
    </row>
    <row r="49" spans="1:71" s="541" customFormat="1" ht="15" customHeight="1">
      <c r="A49" s="556" t="s">
        <v>345</v>
      </c>
      <c r="C49" s="558"/>
      <c r="D49" s="588">
        <v>496152.63</v>
      </c>
      <c r="E49" s="589">
        <f t="shared" ref="E49:O49" si="72">SUM(E47:E48)</f>
        <v>513900.5</v>
      </c>
      <c r="F49" s="589">
        <f t="shared" si="72"/>
        <v>544830</v>
      </c>
      <c r="G49" s="589">
        <f t="shared" si="72"/>
        <v>537541</v>
      </c>
      <c r="H49" s="589">
        <f t="shared" si="72"/>
        <v>542299</v>
      </c>
      <c r="I49" s="589">
        <f t="shared" si="72"/>
        <v>553258</v>
      </c>
      <c r="J49" s="589">
        <f t="shared" si="72"/>
        <v>533940</v>
      </c>
      <c r="K49" s="589">
        <f t="shared" si="72"/>
        <v>526023</v>
      </c>
      <c r="L49" s="589">
        <f t="shared" si="72"/>
        <v>1120356</v>
      </c>
      <c r="M49" s="589">
        <f t="shared" si="72"/>
        <v>525307</v>
      </c>
      <c r="N49" s="589">
        <f t="shared" si="72"/>
        <v>730947</v>
      </c>
      <c r="O49" s="589">
        <f t="shared" si="72"/>
        <v>741420</v>
      </c>
      <c r="P49" s="589">
        <f t="shared" si="32"/>
        <v>-1493311.13</v>
      </c>
      <c r="Q49" s="579">
        <f>SUM(Q47:Q48)</f>
        <v>5872663</v>
      </c>
      <c r="R49" s="588">
        <f>SUM(R47:R48)</f>
        <v>560853</v>
      </c>
      <c r="S49" s="589">
        <f>SUM(S47:S48)</f>
        <v>519684</v>
      </c>
      <c r="T49" s="589">
        <f>SUM(T47:T48)</f>
        <v>459134</v>
      </c>
      <c r="U49" s="589">
        <f>SUM(U47:U48)</f>
        <v>535122</v>
      </c>
      <c r="V49" s="589">
        <f t="shared" ref="V49:AC49" si="73">SUM(V47:V48)</f>
        <v>544034</v>
      </c>
      <c r="W49" s="589">
        <f t="shared" si="73"/>
        <v>987049</v>
      </c>
      <c r="X49" s="589">
        <f t="shared" si="73"/>
        <v>620632</v>
      </c>
      <c r="Y49" s="589">
        <f t="shared" si="73"/>
        <v>658026</v>
      </c>
      <c r="Z49" s="589">
        <f t="shared" si="73"/>
        <v>519686.9200000001</v>
      </c>
      <c r="AA49" s="589">
        <f>SUM(AA47:AA48)</f>
        <v>680629</v>
      </c>
      <c r="AB49" s="589">
        <f t="shared" si="73"/>
        <v>610014</v>
      </c>
      <c r="AC49" s="589">
        <f t="shared" si="73"/>
        <v>-1013335</v>
      </c>
      <c r="AD49" s="611">
        <f t="shared" si="27"/>
        <v>278502.08000000007</v>
      </c>
      <c r="AE49" s="579">
        <f t="shared" ref="AE49:AP49" si="74">SUM(AE47:AE48)</f>
        <v>5960031</v>
      </c>
      <c r="AF49" s="588">
        <f t="shared" si="74"/>
        <v>476534</v>
      </c>
      <c r="AG49" s="589">
        <f t="shared" si="74"/>
        <v>506015</v>
      </c>
      <c r="AH49" s="589">
        <f t="shared" si="74"/>
        <v>511921</v>
      </c>
      <c r="AI49" s="560">
        <f t="shared" si="74"/>
        <v>585563</v>
      </c>
      <c r="AJ49" s="560">
        <f t="shared" si="74"/>
        <v>482491</v>
      </c>
      <c r="AK49" s="560">
        <f t="shared" si="74"/>
        <v>528135</v>
      </c>
      <c r="AL49" s="560">
        <f t="shared" si="74"/>
        <v>535619.86999999988</v>
      </c>
      <c r="AM49" s="560">
        <f t="shared" si="74"/>
        <v>551740</v>
      </c>
      <c r="AN49" s="560">
        <f t="shared" si="74"/>
        <v>1334772</v>
      </c>
      <c r="AO49" s="560">
        <f t="shared" si="74"/>
        <v>643880</v>
      </c>
      <c r="AP49" s="560">
        <f t="shared" si="74"/>
        <v>599430</v>
      </c>
      <c r="AQ49" s="560">
        <f>SUM(AQ47:AQ48)</f>
        <v>578886.27</v>
      </c>
      <c r="AR49" s="611">
        <f t="shared" si="28"/>
        <v>-1013243.1400000006</v>
      </c>
      <c r="AS49" s="579">
        <f>SUM(AS47:AS48)</f>
        <v>6321744</v>
      </c>
      <c r="AT49" s="588">
        <v>493813</v>
      </c>
      <c r="AU49" s="589">
        <f>SUM(AU47:AU48)</f>
        <v>580107</v>
      </c>
      <c r="AV49" s="589">
        <f>SUM(AV47:AV48)</f>
        <v>581432</v>
      </c>
      <c r="AW49" s="589">
        <f>SUM(AW47:AW48)</f>
        <v>590382</v>
      </c>
      <c r="AX49" s="589">
        <f>SUM(AX47:AX48)</f>
        <v>590703</v>
      </c>
      <c r="AY49" s="589">
        <f>SUM(AY47:AY48)</f>
        <v>569003.2699999999</v>
      </c>
      <c r="AZ49" s="589">
        <f t="shared" si="33"/>
        <v>451245.78833333333</v>
      </c>
      <c r="BA49" s="589">
        <f t="shared" si="64"/>
        <v>451245.78833333333</v>
      </c>
      <c r="BB49" s="589">
        <f t="shared" si="64"/>
        <v>451245.78833333333</v>
      </c>
      <c r="BC49" s="589">
        <f t="shared" si="64"/>
        <v>451245.78833333333</v>
      </c>
      <c r="BD49" s="589">
        <f t="shared" si="64"/>
        <v>451245.78833333333</v>
      </c>
      <c r="BE49" s="589">
        <f t="shared" si="64"/>
        <v>451245.78833333333</v>
      </c>
      <c r="BF49" s="579">
        <f>SUM(BF47:BF48)</f>
        <v>6112915</v>
      </c>
      <c r="BG49" s="588">
        <f t="shared" si="30"/>
        <v>541190</v>
      </c>
      <c r="BH49" s="589">
        <f t="shared" si="55"/>
        <v>541190</v>
      </c>
      <c r="BI49" s="589">
        <f t="shared" si="55"/>
        <v>541190</v>
      </c>
      <c r="BJ49" s="589">
        <f t="shared" si="55"/>
        <v>541190</v>
      </c>
      <c r="BK49" s="589">
        <f t="shared" si="55"/>
        <v>541190</v>
      </c>
      <c r="BL49" s="589">
        <f t="shared" si="55"/>
        <v>541190</v>
      </c>
      <c r="BM49" s="589">
        <f t="shared" si="55"/>
        <v>541190</v>
      </c>
      <c r="BN49" s="589">
        <f t="shared" si="55"/>
        <v>541190</v>
      </c>
      <c r="BO49" s="589">
        <f t="shared" si="55"/>
        <v>541190</v>
      </c>
      <c r="BP49" s="589">
        <f t="shared" si="55"/>
        <v>541190</v>
      </c>
      <c r="BQ49" s="589">
        <f t="shared" si="55"/>
        <v>541190</v>
      </c>
      <c r="BR49" s="589">
        <f t="shared" si="55"/>
        <v>541190</v>
      </c>
      <c r="BS49" s="579">
        <f t="shared" ref="BS49" si="75">SUM(BS47:BS48)</f>
        <v>6494280</v>
      </c>
    </row>
    <row r="50" spans="1:71" s="541" customFormat="1" ht="16.8" thickBot="1">
      <c r="A50" s="590" t="s">
        <v>152</v>
      </c>
      <c r="B50" s="567"/>
      <c r="C50" s="568"/>
      <c r="D50" s="591">
        <f t="shared" ref="D50:O50" si="76">SUM(D49,D46,D28)</f>
        <v>44639864.280000001</v>
      </c>
      <c r="E50" s="591">
        <f t="shared" si="76"/>
        <v>50396468.740000002</v>
      </c>
      <c r="F50" s="591">
        <f t="shared" si="76"/>
        <v>51334903</v>
      </c>
      <c r="G50" s="591">
        <f t="shared" si="76"/>
        <v>51238605</v>
      </c>
      <c r="H50" s="591">
        <f t="shared" si="76"/>
        <v>51995958</v>
      </c>
      <c r="I50" s="591">
        <f t="shared" si="76"/>
        <v>52555951</v>
      </c>
      <c r="J50" s="591">
        <f t="shared" si="76"/>
        <v>53370865</v>
      </c>
      <c r="K50" s="591">
        <f t="shared" si="76"/>
        <v>53008374</v>
      </c>
      <c r="L50" s="591">
        <f t="shared" si="76"/>
        <v>105143347</v>
      </c>
      <c r="M50" s="591">
        <f t="shared" si="76"/>
        <v>53811114</v>
      </c>
      <c r="N50" s="591">
        <f t="shared" si="76"/>
        <v>71901693</v>
      </c>
      <c r="O50" s="591">
        <f t="shared" si="76"/>
        <v>68641861.929999992</v>
      </c>
      <c r="P50" s="591">
        <f t="shared" si="32"/>
        <v>22872820.050000072</v>
      </c>
      <c r="Q50" s="592">
        <f>SUM(Q28,Q46,Q49)</f>
        <v>730911825</v>
      </c>
      <c r="R50" s="591">
        <f>SUM(R49,R46,R28)</f>
        <v>52015259</v>
      </c>
      <c r="S50" s="591">
        <f>SUM(S49,S28,S46)</f>
        <v>54804973</v>
      </c>
      <c r="T50" s="591">
        <f>T28+T46+T49</f>
        <v>48450197</v>
      </c>
      <c r="U50" s="591">
        <f>U28+U46+U49</f>
        <v>56443804</v>
      </c>
      <c r="V50" s="591">
        <f>V28+V46+V49</f>
        <v>54355446</v>
      </c>
      <c r="W50" s="591">
        <f>SUM(W28,W46,W49)</f>
        <v>92054183</v>
      </c>
      <c r="X50" s="591">
        <f t="shared" ref="X50:AC50" si="77">X28+X46+X49</f>
        <v>62445263</v>
      </c>
      <c r="Y50" s="591">
        <f t="shared" si="77"/>
        <v>65862363</v>
      </c>
      <c r="Z50" s="591">
        <f t="shared" si="77"/>
        <v>58042744.859999999</v>
      </c>
      <c r="AA50" s="591">
        <f t="shared" si="77"/>
        <v>69876613</v>
      </c>
      <c r="AB50" s="591">
        <f t="shared" si="77"/>
        <v>61338822</v>
      </c>
      <c r="AC50" s="591">
        <f t="shared" si="77"/>
        <v>67384296</v>
      </c>
      <c r="AD50" s="612">
        <v>37814864.992831856</v>
      </c>
      <c r="AE50" s="579">
        <f>AE28+AE46+AE49</f>
        <v>780888828</v>
      </c>
      <c r="AF50" s="591">
        <f>SUM(AF49,AF46,AF28)</f>
        <v>47087143</v>
      </c>
      <c r="AG50" s="591">
        <f>SUM(AG28,AG46,AG49)</f>
        <v>56365474</v>
      </c>
      <c r="AH50" s="591">
        <f>AH28+AH46+AH49</f>
        <v>56921902</v>
      </c>
      <c r="AI50" s="591">
        <f>AI28+AI46+AI49</f>
        <v>68187357</v>
      </c>
      <c r="AJ50" s="591">
        <f>AJ28+AJ46+AJ49</f>
        <v>53861734.549999997</v>
      </c>
      <c r="AK50" s="591">
        <f>AK28+AK49+AK46</f>
        <v>56524849</v>
      </c>
      <c r="AL50" s="591">
        <f t="shared" ref="AL50:AQ50" si="78">AL28+AL46+AL49</f>
        <v>55709037.790000089</v>
      </c>
      <c r="AM50" s="591">
        <f t="shared" si="78"/>
        <v>58684222.920000002</v>
      </c>
      <c r="AN50" s="591">
        <f t="shared" si="78"/>
        <v>128045769.2</v>
      </c>
      <c r="AO50" s="591">
        <f t="shared" si="78"/>
        <v>66965060.039999984</v>
      </c>
      <c r="AP50" s="591">
        <f t="shared" si="78"/>
        <v>58016481</v>
      </c>
      <c r="AQ50" s="591">
        <f t="shared" si="78"/>
        <v>61056825.840000056</v>
      </c>
      <c r="AR50" s="612">
        <f t="shared" si="28"/>
        <v>40128311.659999847</v>
      </c>
      <c r="AS50" s="579">
        <f>AS28+AS46+AS49</f>
        <v>807554168</v>
      </c>
      <c r="AT50" s="591">
        <f>AT28+AT46+AT49</f>
        <v>48054661</v>
      </c>
      <c r="AU50" s="591">
        <f>AU28+AU46+AU49</f>
        <v>60831525.640000001</v>
      </c>
      <c r="AV50" s="591">
        <f t="shared" ref="AV50:AY50" si="79">AV28+AV46+AV49</f>
        <v>65321288</v>
      </c>
      <c r="AW50" s="591">
        <f t="shared" si="79"/>
        <v>63403675</v>
      </c>
      <c r="AX50" s="591">
        <f t="shared" si="79"/>
        <v>62490556.060000002</v>
      </c>
      <c r="AY50" s="591">
        <f t="shared" si="79"/>
        <v>60290409.609999985</v>
      </c>
      <c r="AZ50" s="591">
        <f t="shared" si="33"/>
        <v>77702428.948333338</v>
      </c>
      <c r="BA50" s="591">
        <f t="shared" si="64"/>
        <v>77702428.948333338</v>
      </c>
      <c r="BB50" s="591">
        <f t="shared" si="64"/>
        <v>77702428.948333338</v>
      </c>
      <c r="BC50" s="591">
        <f t="shared" si="64"/>
        <v>77702428.948333338</v>
      </c>
      <c r="BD50" s="591">
        <f t="shared" si="64"/>
        <v>77702428.948333338</v>
      </c>
      <c r="BE50" s="591">
        <f t="shared" si="64"/>
        <v>77702428.948333338</v>
      </c>
      <c r="BF50" s="592">
        <f>SUM(BF28,BF46,BF49)</f>
        <v>826606689</v>
      </c>
      <c r="BG50" s="591">
        <f t="shared" si="30"/>
        <v>70751179.833333328</v>
      </c>
      <c r="BH50" s="591">
        <f t="shared" si="55"/>
        <v>70751179.833333328</v>
      </c>
      <c r="BI50" s="591">
        <f t="shared" si="55"/>
        <v>70751179.833333328</v>
      </c>
      <c r="BJ50" s="591">
        <f t="shared" si="55"/>
        <v>70751179.833333328</v>
      </c>
      <c r="BK50" s="591">
        <f t="shared" si="55"/>
        <v>70751179.833333328</v>
      </c>
      <c r="BL50" s="591">
        <f t="shared" si="55"/>
        <v>70751179.833333328</v>
      </c>
      <c r="BM50" s="591">
        <f t="shared" si="55"/>
        <v>70751179.833333328</v>
      </c>
      <c r="BN50" s="591">
        <f t="shared" si="55"/>
        <v>70751179.833333328</v>
      </c>
      <c r="BO50" s="591">
        <f t="shared" si="55"/>
        <v>70751179.833333328</v>
      </c>
      <c r="BP50" s="591">
        <f t="shared" si="55"/>
        <v>70751179.833333328</v>
      </c>
      <c r="BQ50" s="591">
        <f t="shared" si="55"/>
        <v>70751179.833333328</v>
      </c>
      <c r="BR50" s="591">
        <f t="shared" si="55"/>
        <v>70751179.833333328</v>
      </c>
      <c r="BS50" s="579">
        <f>BS28+BS46+BS49</f>
        <v>849014158</v>
      </c>
    </row>
    <row r="51" spans="1:71" ht="19.95" customHeight="1">
      <c r="C51" s="556"/>
      <c r="D51" s="593"/>
      <c r="E51" s="594"/>
      <c r="F51" s="594"/>
      <c r="G51" s="594"/>
      <c r="H51" s="594"/>
      <c r="I51" s="594"/>
      <c r="J51" s="594"/>
      <c r="K51" s="594"/>
      <c r="L51" s="594"/>
      <c r="M51" s="594"/>
      <c r="N51" s="594"/>
      <c r="O51" s="594"/>
      <c r="P51" s="594"/>
      <c r="Q51" s="595"/>
      <c r="R51" s="593"/>
      <c r="S51" s="594"/>
      <c r="T51" s="594"/>
      <c r="U51" s="594"/>
      <c r="V51" s="594"/>
      <c r="W51" s="594"/>
      <c r="X51" s="594"/>
      <c r="Y51" s="594"/>
      <c r="Z51" s="594"/>
      <c r="AA51" s="594"/>
      <c r="AB51" s="594"/>
      <c r="AC51" s="594"/>
      <c r="AD51" s="594"/>
      <c r="AE51" s="595"/>
      <c r="AF51" s="593"/>
      <c r="AG51" s="594"/>
      <c r="AH51" s="594"/>
      <c r="AI51" s="594"/>
      <c r="AJ51" s="594"/>
      <c r="AK51" s="594"/>
      <c r="AL51" s="594"/>
      <c r="AM51" s="594"/>
      <c r="AN51" s="594"/>
      <c r="AO51" s="594"/>
      <c r="AP51" s="594"/>
      <c r="AQ51" s="594"/>
      <c r="AR51" s="594"/>
      <c r="AS51" s="595"/>
      <c r="AT51" s="593"/>
      <c r="AU51" s="594"/>
      <c r="AV51" s="594"/>
      <c r="AW51" s="594"/>
      <c r="AX51" s="594"/>
      <c r="AY51" s="594"/>
      <c r="AZ51" s="594"/>
      <c r="BA51" s="594"/>
      <c r="BB51" s="594"/>
      <c r="BC51" s="594"/>
      <c r="BD51" s="594"/>
      <c r="BE51" s="594"/>
      <c r="BF51" s="595"/>
      <c r="BG51" s="593"/>
      <c r="BH51" s="594"/>
      <c r="BI51" s="594"/>
      <c r="BJ51" s="594"/>
      <c r="BK51" s="594"/>
      <c r="BL51" s="594"/>
      <c r="BM51" s="594"/>
      <c r="BN51" s="594"/>
      <c r="BO51" s="594"/>
      <c r="BP51" s="594"/>
      <c r="BQ51" s="594"/>
      <c r="BR51" s="594"/>
      <c r="BS51" s="595"/>
    </row>
    <row r="52" spans="1:71" s="596" customFormat="1">
      <c r="C52" s="588" t="s">
        <v>346</v>
      </c>
      <c r="D52" s="588">
        <v>9767.9</v>
      </c>
      <c r="E52" s="588">
        <v>9785.7999999999993</v>
      </c>
      <c r="F52" s="588">
        <v>9835.7000000000007</v>
      </c>
      <c r="G52" s="588">
        <v>9867</v>
      </c>
      <c r="H52" s="588">
        <v>9848.2000000000007</v>
      </c>
      <c r="I52" s="588">
        <v>9859.2999999999993</v>
      </c>
      <c r="J52" s="588">
        <v>9869.2999999999993</v>
      </c>
      <c r="K52" s="588">
        <v>9887.4</v>
      </c>
      <c r="L52" s="588">
        <v>9887.7999999999993</v>
      </c>
      <c r="M52" s="588">
        <v>9877.4</v>
      </c>
      <c r="N52" s="588">
        <v>9868.2999999999993</v>
      </c>
      <c r="O52" s="588">
        <v>9822.6</v>
      </c>
      <c r="P52" s="589"/>
      <c r="Q52" s="579">
        <v>9848.0583333333325</v>
      </c>
      <c r="R52" s="588">
        <v>9927.6</v>
      </c>
      <c r="S52" s="589">
        <v>9929.4</v>
      </c>
      <c r="T52" s="589">
        <v>9959.8999999999833</v>
      </c>
      <c r="U52" s="589">
        <v>9977.9</v>
      </c>
      <c r="V52" s="589">
        <v>9969.9</v>
      </c>
      <c r="W52" s="589">
        <v>9953</v>
      </c>
      <c r="X52" s="589">
        <v>9813.7999999999993</v>
      </c>
      <c r="Y52" s="589">
        <v>9855.5</v>
      </c>
      <c r="Z52" s="589">
        <v>9930.1</v>
      </c>
      <c r="AA52" s="589">
        <v>9927.7999999999993</v>
      </c>
      <c r="AB52" s="589">
        <v>10001.200000000001</v>
      </c>
      <c r="AC52" s="589">
        <v>10016.9</v>
      </c>
      <c r="AD52" s="589"/>
      <c r="AE52" s="579">
        <f>AVERAGE(R52:AB52)</f>
        <v>9931.4636363636364</v>
      </c>
      <c r="AF52" s="588">
        <v>9964.1</v>
      </c>
      <c r="AG52" s="589">
        <v>9975.4</v>
      </c>
      <c r="AH52" s="589">
        <v>10010.700000000001</v>
      </c>
      <c r="AI52" s="589">
        <v>10033.5</v>
      </c>
      <c r="AJ52" s="589">
        <v>10051.200000000001</v>
      </c>
      <c r="AK52" s="589">
        <v>10027.4</v>
      </c>
      <c r="AL52" s="589">
        <v>9998.2999999999993</v>
      </c>
      <c r="AM52" s="589">
        <v>9969</v>
      </c>
      <c r="AN52" s="589">
        <v>9901.9</v>
      </c>
      <c r="AO52" s="589">
        <v>9877.4</v>
      </c>
      <c r="AP52" s="589">
        <v>9852.5</v>
      </c>
      <c r="AQ52" s="589">
        <v>9832.9</v>
      </c>
      <c r="AR52" s="589"/>
      <c r="AS52" s="579">
        <f>AVERAGE(AF52:AP52)</f>
        <v>9969.2181818181798</v>
      </c>
      <c r="AT52" s="588">
        <v>9639.6</v>
      </c>
      <c r="AU52" s="588">
        <v>9602.7999999999993</v>
      </c>
      <c r="AV52" s="588">
        <v>9583.65</v>
      </c>
      <c r="AW52" s="588">
        <v>9628.9</v>
      </c>
      <c r="AX52" s="588">
        <v>9657.9</v>
      </c>
      <c r="AY52" s="588">
        <v>9632</v>
      </c>
      <c r="AZ52" s="588">
        <v>10173.4</v>
      </c>
      <c r="BA52" s="588">
        <v>10173.4</v>
      </c>
      <c r="BB52" s="588">
        <v>10173.4</v>
      </c>
      <c r="BC52" s="588">
        <v>10173.4</v>
      </c>
      <c r="BD52" s="588">
        <v>10173.4</v>
      </c>
      <c r="BE52" s="588">
        <v>10173.4</v>
      </c>
      <c r="BF52" s="579">
        <v>9848.0583333333325</v>
      </c>
      <c r="BG52" s="588">
        <v>9933.4</v>
      </c>
      <c r="BH52" s="589">
        <v>9933.4</v>
      </c>
      <c r="BI52" s="589">
        <v>9933.4</v>
      </c>
      <c r="BJ52" s="589">
        <v>9933.4</v>
      </c>
      <c r="BK52" s="589">
        <v>9933.4</v>
      </c>
      <c r="BL52" s="589">
        <v>9933.4</v>
      </c>
      <c r="BM52" s="589">
        <v>9933.4</v>
      </c>
      <c r="BN52" s="589">
        <v>9933.4</v>
      </c>
      <c r="BO52" s="589">
        <v>9933.4</v>
      </c>
      <c r="BP52" s="589">
        <v>9933.4</v>
      </c>
      <c r="BQ52" s="589">
        <v>9933.4</v>
      </c>
      <c r="BR52" s="589">
        <v>9933.4</v>
      </c>
      <c r="BS52" s="579">
        <f>AVERAGE(BG52:BQ52)</f>
        <v>9933.3999999999978</v>
      </c>
    </row>
    <row r="53" spans="1:71" s="596" customFormat="1">
      <c r="C53" s="588"/>
      <c r="D53" s="588"/>
      <c r="E53" s="589"/>
      <c r="F53" s="589"/>
      <c r="G53" s="589"/>
      <c r="H53" s="589"/>
      <c r="I53" s="589"/>
      <c r="J53" s="589"/>
      <c r="K53" s="589"/>
      <c r="L53" s="589"/>
      <c r="M53" s="589"/>
      <c r="N53" s="589"/>
      <c r="O53" s="589"/>
      <c r="P53" s="589"/>
      <c r="Q53" s="579"/>
      <c r="R53" s="588"/>
      <c r="S53" s="589"/>
      <c r="T53" s="589"/>
      <c r="U53" s="589"/>
      <c r="V53" s="589"/>
      <c r="W53" s="589"/>
      <c r="X53" s="589"/>
      <c r="Y53" s="589"/>
      <c r="Z53" s="589"/>
      <c r="AA53" s="589"/>
      <c r="AB53" s="589"/>
      <c r="AC53" s="589"/>
      <c r="AD53" s="589"/>
      <c r="AE53" s="579"/>
      <c r="AF53" s="588"/>
      <c r="AG53" s="589"/>
      <c r="AH53" s="589"/>
      <c r="AI53" s="589"/>
      <c r="AJ53" s="589"/>
      <c r="AK53" s="589"/>
      <c r="AL53" s="589"/>
      <c r="AM53" s="589"/>
      <c r="AN53" s="589"/>
      <c r="AO53" s="589"/>
      <c r="AP53" s="589"/>
      <c r="AQ53" s="589"/>
      <c r="AR53" s="589"/>
      <c r="AS53" s="579"/>
      <c r="AT53" s="588"/>
      <c r="AU53" s="589"/>
      <c r="AV53" s="589"/>
      <c r="AW53" s="589"/>
      <c r="AX53" s="589"/>
      <c r="AY53" s="589"/>
      <c r="AZ53" s="589"/>
      <c r="BA53" s="589"/>
      <c r="BB53" s="589"/>
      <c r="BC53" s="589"/>
      <c r="BD53" s="589"/>
      <c r="BE53" s="589"/>
      <c r="BF53" s="579"/>
      <c r="BG53" s="588"/>
      <c r="BH53" s="589"/>
      <c r="BI53" s="589"/>
      <c r="BJ53" s="589"/>
      <c r="BK53" s="589"/>
      <c r="BL53" s="589"/>
      <c r="BM53" s="589"/>
      <c r="BN53" s="589"/>
      <c r="BO53" s="589"/>
      <c r="BP53" s="589"/>
      <c r="BQ53" s="589"/>
      <c r="BR53" s="589"/>
      <c r="BS53" s="579"/>
    </row>
    <row r="54" spans="1:71" s="600" customFormat="1">
      <c r="C54" s="597" t="s">
        <v>347</v>
      </c>
      <c r="D54" s="598">
        <v>4242.1029752239037</v>
      </c>
      <c r="E54" s="598">
        <v>4424.1482670683145</v>
      </c>
      <c r="F54" s="598">
        <v>4450.7800156572484</v>
      </c>
      <c r="G54" s="598">
        <v>4492.874835309618</v>
      </c>
      <c r="H54" s="598">
        <v>4451.2334233667061</v>
      </c>
      <c r="I54" s="598">
        <v>4467.433590620024</v>
      </c>
      <c r="J54" s="598">
        <v>4489.1854538822408</v>
      </c>
      <c r="K54" s="598">
        <v>4506.7313955134823</v>
      </c>
      <c r="L54" s="598">
        <v>4708.2465260219669</v>
      </c>
      <c r="M54" s="598">
        <v>4582.4138441604046</v>
      </c>
      <c r="N54" s="598">
        <v>4580.8508051032095</v>
      </c>
      <c r="O54" s="598">
        <v>4553.571204131199</v>
      </c>
      <c r="P54" s="598"/>
      <c r="Q54" s="599">
        <v>65192.462712768953</v>
      </c>
      <c r="R54" s="598">
        <f t="shared" ref="R54:AC54" si="80">SUM(R8,R9)/R52</f>
        <v>4282.8738063580322</v>
      </c>
      <c r="S54" s="598">
        <f t="shared" si="80"/>
        <v>4505.7488871432315</v>
      </c>
      <c r="T54" s="598">
        <f t="shared" si="80"/>
        <v>4593.4474241709331</v>
      </c>
      <c r="U54" s="598">
        <f t="shared" si="80"/>
        <v>4568.8632878661847</v>
      </c>
      <c r="V54" s="598">
        <f t="shared" si="80"/>
        <v>4509.0973831232013</v>
      </c>
      <c r="W54" s="598">
        <f t="shared" si="80"/>
        <v>4570.7233999799055</v>
      </c>
      <c r="X54" s="598">
        <f t="shared" si="80"/>
        <v>4587.1805009272657</v>
      </c>
      <c r="Y54" s="598">
        <f t="shared" si="80"/>
        <v>4745.7634823195167</v>
      </c>
      <c r="Z54" s="598">
        <f t="shared" si="80"/>
        <v>4835.7152963019671</v>
      </c>
      <c r="AA54" s="598">
        <f t="shared" si="80"/>
        <v>4517.1953504301055</v>
      </c>
      <c r="AB54" s="598">
        <f t="shared" si="80"/>
        <v>4551.2299524057107</v>
      </c>
      <c r="AC54" s="598">
        <f t="shared" si="80"/>
        <v>4231.7069163114338</v>
      </c>
      <c r="AD54" s="598"/>
      <c r="AE54" s="599">
        <f t="shared" ref="AE54:AQ54" si="81">SUM(AE8,AE9)/AE52</f>
        <v>58847.794383506596</v>
      </c>
      <c r="AF54" s="598">
        <f t="shared" si="81"/>
        <v>4320.8182374725266</v>
      </c>
      <c r="AG54" s="598">
        <f t="shared" si="81"/>
        <v>4582.8046995609202</v>
      </c>
      <c r="AH54" s="598">
        <f t="shared" si="81"/>
        <v>4662.849950552908</v>
      </c>
      <c r="AI54" s="598">
        <f t="shared" si="81"/>
        <v>5777.0902476703041</v>
      </c>
      <c r="AJ54" s="598">
        <f t="shared" si="81"/>
        <v>4396.8263490926456</v>
      </c>
      <c r="AK54" s="598">
        <f t="shared" si="81"/>
        <v>4450.6490216805951</v>
      </c>
      <c r="AL54" s="598">
        <f t="shared" si="81"/>
        <v>4519.1956519881423</v>
      </c>
      <c r="AM54" s="598">
        <f t="shared" si="81"/>
        <v>4674.811515698666</v>
      </c>
      <c r="AN54" s="598">
        <f t="shared" si="81"/>
        <v>4808.6805626718215</v>
      </c>
      <c r="AO54" s="598">
        <f t="shared" si="81"/>
        <v>4948.0228602668722</v>
      </c>
      <c r="AP54" s="598">
        <f t="shared" si="81"/>
        <v>5008.8919563562549</v>
      </c>
      <c r="AQ54" s="598">
        <f t="shared" si="81"/>
        <v>5141.940716041755</v>
      </c>
      <c r="AR54" s="598"/>
      <c r="AS54" s="599">
        <f t="shared" ref="AS54:BE54" si="82">SUM(AS8,AS9)/AS52</f>
        <v>56183.32087680808</v>
      </c>
      <c r="AT54" s="598">
        <f t="shared" si="82"/>
        <v>4441.6078467986226</v>
      </c>
      <c r="AU54" s="598">
        <f t="shared" si="82"/>
        <v>4992.5278043903863</v>
      </c>
      <c r="AV54" s="598">
        <f t="shared" si="82"/>
        <v>5034.8087628408803</v>
      </c>
      <c r="AW54" s="598">
        <f t="shared" si="82"/>
        <v>4965.9814875691864</v>
      </c>
      <c r="AX54" s="598">
        <f t="shared" si="82"/>
        <v>4955.1016266476154</v>
      </c>
      <c r="AY54" s="598">
        <f t="shared" si="82"/>
        <v>4901.3106716507455</v>
      </c>
      <c r="AZ54" s="598">
        <f t="shared" si="82"/>
        <v>4455.6002821902393</v>
      </c>
      <c r="BA54" s="598">
        <f t="shared" si="82"/>
        <v>4455.6002821902393</v>
      </c>
      <c r="BB54" s="598">
        <f t="shared" si="82"/>
        <v>4455.6002821902393</v>
      </c>
      <c r="BC54" s="598">
        <f t="shared" si="82"/>
        <v>4455.6002821902393</v>
      </c>
      <c r="BD54" s="598">
        <f t="shared" si="82"/>
        <v>4455.6002821902393</v>
      </c>
      <c r="BE54" s="598">
        <f t="shared" si="82"/>
        <v>4455.6002821902393</v>
      </c>
      <c r="BF54" s="599">
        <v>65192.462712768953</v>
      </c>
      <c r="BG54" s="598">
        <f t="shared" ref="BG54:BS54" si="83">SUM(BG8,BG9)/BG52</f>
        <v>4863.5131727303842</v>
      </c>
      <c r="BH54" s="598">
        <f t="shared" si="83"/>
        <v>4863.5131727303842</v>
      </c>
      <c r="BI54" s="598">
        <f t="shared" si="83"/>
        <v>4863.5131727303842</v>
      </c>
      <c r="BJ54" s="598">
        <f t="shared" si="83"/>
        <v>4863.5131727303842</v>
      </c>
      <c r="BK54" s="598">
        <f t="shared" si="83"/>
        <v>4863.5131727303842</v>
      </c>
      <c r="BL54" s="598">
        <f t="shared" si="83"/>
        <v>4863.5131727303842</v>
      </c>
      <c r="BM54" s="598">
        <f t="shared" si="83"/>
        <v>4863.5131727303842</v>
      </c>
      <c r="BN54" s="598">
        <f t="shared" si="83"/>
        <v>4863.5131727303842</v>
      </c>
      <c r="BO54" s="598">
        <f t="shared" si="83"/>
        <v>4863.5131727303842</v>
      </c>
      <c r="BP54" s="598">
        <f t="shared" si="83"/>
        <v>4863.5131727303842</v>
      </c>
      <c r="BQ54" s="598">
        <f t="shared" si="83"/>
        <v>4863.5131727303842</v>
      </c>
      <c r="BR54" s="598">
        <f t="shared" si="83"/>
        <v>4863.5131727303842</v>
      </c>
      <c r="BS54" s="599">
        <f t="shared" si="83"/>
        <v>58362.158072764629</v>
      </c>
    </row>
    <row r="55" spans="1:71" s="600" customFormat="1" ht="16.8" thickBot="1">
      <c r="C55" s="601" t="s">
        <v>348</v>
      </c>
      <c r="D55" s="602">
        <v>4569.073431341435</v>
      </c>
      <c r="E55" s="602">
        <v>5149.9589961074889</v>
      </c>
      <c r="F55" s="602">
        <v>5219.2424535111886</v>
      </c>
      <c r="G55" s="602">
        <v>5168.4231275970405</v>
      </c>
      <c r="H55" s="602">
        <v>5253.3710728864153</v>
      </c>
      <c r="I55" s="602">
        <v>5313.4522734879765</v>
      </c>
      <c r="J55" s="602">
        <v>5377.0547049942752</v>
      </c>
      <c r="K55" s="602">
        <v>5342.8309767987539</v>
      </c>
      <c r="L55" s="602">
        <v>10606.549889763142</v>
      </c>
      <c r="M55" s="602">
        <v>5423.2137590343591</v>
      </c>
      <c r="N55" s="602">
        <v>7156.5279734098076</v>
      </c>
      <c r="O55" s="602">
        <v>6967.6208861932937</v>
      </c>
      <c r="P55" s="602"/>
      <c r="Q55" s="603">
        <v>73697.487325173162</v>
      </c>
      <c r="R55" s="602">
        <f t="shared" ref="R55:AC55" si="84">(R21-R18-R19-R20)/R52</f>
        <v>5234.1013940932344</v>
      </c>
      <c r="S55" s="602">
        <f t="shared" si="84"/>
        <v>5211.1632122786878</v>
      </c>
      <c r="T55" s="602">
        <f t="shared" si="84"/>
        <v>4800.7972971616264</v>
      </c>
      <c r="U55" s="602">
        <f t="shared" si="84"/>
        <v>5268.9050802273023</v>
      </c>
      <c r="V55" s="602">
        <f t="shared" si="84"/>
        <v>5395.2921293092213</v>
      </c>
      <c r="W55" s="602">
        <f t="shared" si="84"/>
        <v>9209.646940620918</v>
      </c>
      <c r="X55" s="602">
        <f t="shared" si="84"/>
        <v>6253.1974362632218</v>
      </c>
      <c r="Y55" s="602">
        <f t="shared" si="84"/>
        <v>6455.8898856719597</v>
      </c>
      <c r="Z55" s="602">
        <f t="shared" si="84"/>
        <v>5520.5177147187005</v>
      </c>
      <c r="AA55" s="602">
        <f t="shared" si="84"/>
        <v>6627.8811015532146</v>
      </c>
      <c r="AB55" s="602">
        <f t="shared" si="84"/>
        <v>5913.1760188777344</v>
      </c>
      <c r="AC55" s="602">
        <f t="shared" si="84"/>
        <v>5381.8948287394305</v>
      </c>
      <c r="AD55" s="602"/>
      <c r="AE55" s="603">
        <f t="shared" ref="AE55:AQ55" si="85">(AE21-AE18-AE19-AE20)/AE52</f>
        <v>73639.69378311903</v>
      </c>
      <c r="AF55" s="602">
        <f t="shared" si="85"/>
        <v>4721.2649411386874</v>
      </c>
      <c r="AG55" s="602">
        <f t="shared" si="85"/>
        <v>5195.0450107263869</v>
      </c>
      <c r="AH55" s="602">
        <f t="shared" si="85"/>
        <v>5232.2101351553838</v>
      </c>
      <c r="AI55" s="602">
        <f t="shared" si="85"/>
        <v>6341.4603079683066</v>
      </c>
      <c r="AJ55" s="602">
        <f t="shared" si="85"/>
        <v>4903.7767629735754</v>
      </c>
      <c r="AK55" s="602">
        <f t="shared" si="85"/>
        <v>5186.1767756347608</v>
      </c>
      <c r="AL55" s="602">
        <f t="shared" si="85"/>
        <v>5121.0034131485399</v>
      </c>
      <c r="AM55" s="602">
        <f t="shared" si="85"/>
        <v>5316.7182265021565</v>
      </c>
      <c r="AN55" s="602">
        <f t="shared" si="85"/>
        <v>12469.141266074199</v>
      </c>
      <c r="AO55" s="602">
        <f t="shared" si="85"/>
        <v>6313.7718427926384</v>
      </c>
      <c r="AP55" s="602">
        <f t="shared" si="85"/>
        <v>5417.860238518143</v>
      </c>
      <c r="AQ55" s="602">
        <f t="shared" si="85"/>
        <v>5764.6538857911637</v>
      </c>
      <c r="AR55" s="602"/>
      <c r="AS55" s="603">
        <f t="shared" ref="AS55:BE55" si="86">(AS21-AS18-AS19-AS20)/AS52</f>
        <v>75636.407213477141</v>
      </c>
      <c r="AT55" s="602">
        <f t="shared" si="86"/>
        <v>4694.2255902734551</v>
      </c>
      <c r="AU55" s="602">
        <f t="shared" si="86"/>
        <v>5591.2997250801855</v>
      </c>
      <c r="AV55" s="602">
        <f t="shared" si="86"/>
        <v>5700.6916988829935</v>
      </c>
      <c r="AW55" s="602">
        <f t="shared" si="86"/>
        <v>5795.354219499106</v>
      </c>
      <c r="AX55" s="602">
        <f t="shared" si="86"/>
        <v>5987.013599575891</v>
      </c>
      <c r="AY55" s="602">
        <f t="shared" si="86"/>
        <v>5790.4233962437684</v>
      </c>
      <c r="AZ55" s="602">
        <f t="shared" si="86"/>
        <v>6809.225455691223</v>
      </c>
      <c r="BA55" s="602">
        <f t="shared" si="86"/>
        <v>6809.225455691223</v>
      </c>
      <c r="BB55" s="602">
        <f t="shared" si="86"/>
        <v>6809.225455691223</v>
      </c>
      <c r="BC55" s="602">
        <f t="shared" si="86"/>
        <v>6809.225455691223</v>
      </c>
      <c r="BD55" s="602">
        <f t="shared" si="86"/>
        <v>6809.225455691223</v>
      </c>
      <c r="BE55" s="602">
        <f t="shared" si="86"/>
        <v>6809.225455691223</v>
      </c>
      <c r="BF55" s="603">
        <v>73697.487325173162</v>
      </c>
      <c r="BG55" s="602">
        <f t="shared" ref="BG55:BS55" si="87">(BG21-BG18-BG19-BG20)/BG52</f>
        <v>6448.5520315299918</v>
      </c>
      <c r="BH55" s="602">
        <f t="shared" si="87"/>
        <v>6448.5520315299918</v>
      </c>
      <c r="BI55" s="602">
        <f t="shared" si="87"/>
        <v>6448.5520315299918</v>
      </c>
      <c r="BJ55" s="602">
        <f t="shared" si="87"/>
        <v>6448.5520315299918</v>
      </c>
      <c r="BK55" s="602">
        <f t="shared" si="87"/>
        <v>6448.5520315299918</v>
      </c>
      <c r="BL55" s="602">
        <f t="shared" si="87"/>
        <v>6448.5520315299918</v>
      </c>
      <c r="BM55" s="602">
        <f t="shared" si="87"/>
        <v>6448.5520315299918</v>
      </c>
      <c r="BN55" s="602">
        <f t="shared" si="87"/>
        <v>6448.5520315299918</v>
      </c>
      <c r="BO55" s="602">
        <f t="shared" si="87"/>
        <v>6448.5520315299918</v>
      </c>
      <c r="BP55" s="602">
        <f t="shared" si="87"/>
        <v>6448.5520315299918</v>
      </c>
      <c r="BQ55" s="602">
        <f t="shared" si="87"/>
        <v>6448.5520315299918</v>
      </c>
      <c r="BR55" s="602">
        <f t="shared" si="87"/>
        <v>6448.5520315299918</v>
      </c>
      <c r="BS55" s="603">
        <f t="shared" si="87"/>
        <v>77382.624378359891</v>
      </c>
    </row>
    <row r="56" spans="1:71">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row>
    <row r="57" spans="1:7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1"/>
      <c r="BM57" s="381"/>
      <c r="BN57" s="381"/>
      <c r="BO57" s="381"/>
      <c r="BP57" s="381"/>
      <c r="BQ57" s="381"/>
      <c r="BR57" s="381"/>
      <c r="BS57" s="381"/>
    </row>
    <row r="58" spans="1:71">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row>
    <row r="59" spans="1:71">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row>
    <row r="60" spans="1:71">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c r="BO60" s="604"/>
      <c r="BP60" s="604"/>
      <c r="BQ60" s="604"/>
      <c r="BR60" s="604"/>
      <c r="BS60" s="604"/>
    </row>
    <row r="62" spans="1:71">
      <c r="AR62" s="61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A610A-5255-4481-A8AF-398F917EB975}">
  <dimension ref="A1:BS59"/>
  <sheetViews>
    <sheetView zoomScale="70" zoomScaleNormal="70" workbookViewId="0">
      <pane xSplit="3" ySplit="7" topLeftCell="AZ20" activePane="bottomRight" state="frozen"/>
      <selection activeCell="BB57" sqref="BB57"/>
      <selection pane="topRight" activeCell="BB57" sqref="BB57"/>
      <selection pane="bottomLeft" activeCell="BB57" sqref="BB57"/>
      <selection pane="bottomRight" activeCell="BE26" sqref="BE26"/>
    </sheetView>
  </sheetViews>
  <sheetFormatPr defaultRowHeight="16.2"/>
  <cols>
    <col min="1" max="1" width="15.5546875" style="541" customWidth="1"/>
    <col min="2" max="2" width="18.6640625" style="541" customWidth="1"/>
    <col min="3" max="3" width="84.44140625" style="541" customWidth="1"/>
    <col min="4" max="4" width="17" style="542" bestFit="1" customWidth="1"/>
    <col min="5" max="5" width="16" style="542" bestFit="1" customWidth="1"/>
    <col min="6" max="6" width="16.44140625" style="542" bestFit="1" customWidth="1"/>
    <col min="7" max="7" width="16.21875" style="542" bestFit="1" customWidth="1"/>
    <col min="8" max="14" width="16" style="542" bestFit="1" customWidth="1"/>
    <col min="15" max="15" width="17.33203125" style="542" bestFit="1" customWidth="1"/>
    <col min="16" max="16" width="18.44140625" style="542" customWidth="1"/>
    <col min="17" max="17" width="18.88671875" style="541" bestFit="1" customWidth="1"/>
    <col min="18" max="18" width="17.44140625" style="542" bestFit="1" customWidth="1"/>
    <col min="19" max="28" width="17.33203125" style="542" bestFit="1" customWidth="1"/>
    <col min="29" max="29" width="18.33203125" style="542" bestFit="1" customWidth="1"/>
    <col min="30" max="30" width="25.21875" style="542" bestFit="1" customWidth="1"/>
    <col min="31" max="31" width="18.88671875" style="541" bestFit="1" customWidth="1"/>
    <col min="32" max="32" width="17" style="542" bestFit="1" customWidth="1"/>
    <col min="33" max="38" width="17.33203125" style="542" bestFit="1" customWidth="1"/>
    <col min="39" max="43" width="18.6640625" style="542" bestFit="1" customWidth="1"/>
    <col min="44" max="44" width="25.88671875" style="542" bestFit="1" customWidth="1"/>
    <col min="45" max="45" width="18.88671875" style="541" customWidth="1"/>
    <col min="46" max="46" width="17" style="542" bestFit="1" customWidth="1"/>
    <col min="47" max="47" width="17.33203125" style="542" bestFit="1" customWidth="1"/>
    <col min="48" max="52" width="17.33203125" style="542" customWidth="1"/>
    <col min="53" max="57" width="18.6640625" style="542" customWidth="1"/>
    <col min="58" max="58" width="18.88671875" style="541" customWidth="1"/>
    <col min="59" max="59" width="17" style="542" bestFit="1" customWidth="1"/>
    <col min="60" max="65" width="17.33203125" style="542" bestFit="1" customWidth="1"/>
    <col min="66" max="70" width="18.6640625" style="542" bestFit="1" customWidth="1"/>
    <col min="71" max="71" width="18.88671875" style="541" customWidth="1"/>
    <col min="72" max="16384" width="8.88671875" style="542"/>
  </cols>
  <sheetData>
    <row r="1" spans="1:71">
      <c r="A1" s="541" t="s">
        <v>305</v>
      </c>
    </row>
    <row r="2" spans="1:71">
      <c r="A2" s="557" t="s">
        <v>386</v>
      </c>
      <c r="BF2" s="610"/>
    </row>
    <row r="3" spans="1:71">
      <c r="A3" s="541" t="s">
        <v>586</v>
      </c>
      <c r="D3" s="543"/>
      <c r="E3" s="543"/>
      <c r="F3" s="543"/>
      <c r="G3" s="543"/>
      <c r="H3" s="543"/>
      <c r="I3" s="543"/>
      <c r="J3" s="543"/>
      <c r="K3" s="543"/>
      <c r="L3" s="543"/>
      <c r="M3" s="543"/>
      <c r="N3" s="543"/>
      <c r="O3" s="544"/>
      <c r="P3" s="544"/>
      <c r="Q3" s="544"/>
      <c r="R3" s="543"/>
      <c r="S3" s="543"/>
      <c r="T3" s="543"/>
      <c r="U3" s="543"/>
      <c r="V3" s="543"/>
      <c r="W3" s="543"/>
      <c r="X3" s="543"/>
      <c r="Y3" s="543"/>
      <c r="Z3" s="543"/>
      <c r="AA3" s="543"/>
      <c r="AB3" s="543"/>
      <c r="AC3" s="544"/>
      <c r="AD3" s="544"/>
      <c r="AE3" s="544"/>
      <c r="AF3" s="543"/>
      <c r="AG3" s="543"/>
      <c r="AH3" s="543"/>
      <c r="AI3" s="543"/>
      <c r="AJ3" s="543"/>
      <c r="AK3" s="543"/>
      <c r="AL3" s="543"/>
      <c r="AM3" s="543"/>
      <c r="AN3" s="543"/>
      <c r="AO3" s="543"/>
      <c r="AP3" s="543"/>
      <c r="AQ3" s="544"/>
      <c r="AR3" s="544"/>
      <c r="AS3" s="544"/>
      <c r="AT3" s="543"/>
      <c r="AU3" s="543"/>
      <c r="AV3" s="543"/>
      <c r="AW3" s="543"/>
      <c r="AX3" s="543"/>
      <c r="AY3" s="543"/>
      <c r="AZ3" s="543"/>
      <c r="BA3" s="543"/>
      <c r="BB3" s="543"/>
      <c r="BC3" s="543"/>
      <c r="BD3" s="543"/>
      <c r="BE3" s="544"/>
      <c r="BF3" s="618"/>
      <c r="BG3" s="543"/>
      <c r="BH3" s="543"/>
      <c r="BI3" s="543"/>
      <c r="BJ3" s="543"/>
      <c r="BK3" s="543"/>
      <c r="BL3" s="543"/>
      <c r="BM3" s="543"/>
      <c r="BN3" s="543"/>
      <c r="BO3" s="543"/>
      <c r="BP3" s="543"/>
      <c r="BQ3" s="543"/>
      <c r="BR3" s="544"/>
      <c r="BS3" s="544"/>
    </row>
    <row r="4" spans="1:71">
      <c r="A4" s="541" t="s">
        <v>650</v>
      </c>
      <c r="D4" s="545"/>
      <c r="E4" s="543"/>
      <c r="F4" s="543"/>
      <c r="G4" s="543"/>
      <c r="H4" s="543"/>
      <c r="I4" s="543"/>
      <c r="J4" s="543"/>
      <c r="K4" s="543"/>
      <c r="L4" s="543"/>
      <c r="M4" s="543"/>
      <c r="N4" s="543"/>
      <c r="O4" s="543"/>
      <c r="P4" s="543"/>
      <c r="Q4" s="546"/>
      <c r="R4" s="545"/>
      <c r="S4" s="543"/>
      <c r="T4" s="543"/>
      <c r="U4" s="543"/>
      <c r="V4" s="543"/>
      <c r="W4" s="543"/>
      <c r="X4" s="543"/>
      <c r="Y4" s="543"/>
      <c r="Z4" s="543"/>
      <c r="AA4" s="543"/>
      <c r="AB4" s="543"/>
      <c r="AC4" s="543"/>
      <c r="AD4" s="543"/>
      <c r="AE4" s="546"/>
      <c r="AF4" s="545"/>
      <c r="AG4" s="543"/>
      <c r="AH4" s="543"/>
      <c r="AI4" s="543"/>
      <c r="AJ4" s="543"/>
      <c r="AK4" s="543"/>
      <c r="AL4" s="543"/>
      <c r="AM4" s="543"/>
      <c r="AN4" s="543"/>
      <c r="AO4" s="543"/>
      <c r="AP4" s="543"/>
      <c r="AQ4" s="543"/>
      <c r="AR4" s="543"/>
      <c r="AS4" s="546"/>
      <c r="AT4" s="545"/>
      <c r="AU4" s="543"/>
      <c r="AV4" s="543"/>
      <c r="AW4" s="543"/>
      <c r="AX4" s="543"/>
      <c r="AY4" s="543"/>
      <c r="AZ4" s="543"/>
      <c r="BA4" s="543"/>
      <c r="BB4" s="543"/>
      <c r="BC4" s="543"/>
      <c r="BD4" s="543"/>
      <c r="BE4" s="543"/>
      <c r="BF4" s="546"/>
      <c r="BG4" s="545"/>
      <c r="BH4" s="543"/>
      <c r="BI4" s="543"/>
      <c r="BJ4" s="543"/>
      <c r="BK4" s="543"/>
      <c r="BL4" s="543"/>
      <c r="BM4" s="543"/>
      <c r="BN4" s="543"/>
      <c r="BO4" s="543"/>
      <c r="BP4" s="543"/>
      <c r="BQ4" s="543"/>
      <c r="BR4" s="543"/>
      <c r="BS4" s="546"/>
    </row>
    <row r="5" spans="1:71" ht="16.8" thickBot="1">
      <c r="A5" s="541" t="s">
        <v>651</v>
      </c>
      <c r="D5" s="543"/>
      <c r="E5" s="543"/>
      <c r="F5" s="543"/>
      <c r="G5" s="543"/>
      <c r="H5" s="543"/>
      <c r="I5" s="543"/>
      <c r="J5" s="543"/>
      <c r="K5" s="543"/>
      <c r="L5" s="543"/>
      <c r="M5" s="543"/>
      <c r="N5" s="543"/>
      <c r="O5" s="543"/>
      <c r="P5" s="543"/>
      <c r="Q5" s="546"/>
      <c r="R5" s="543"/>
      <c r="S5" s="543"/>
      <c r="T5" s="543"/>
      <c r="U5" s="543"/>
      <c r="V5" s="543"/>
      <c r="W5" s="543"/>
      <c r="X5" s="543"/>
      <c r="Y5" s="543"/>
      <c r="Z5" s="543"/>
      <c r="AA5" s="543"/>
      <c r="AB5" s="543"/>
      <c r="AC5" s="543"/>
      <c r="AD5" s="543"/>
      <c r="AE5" s="546"/>
      <c r="AF5" s="543"/>
      <c r="AG5" s="543"/>
      <c r="AH5" s="543"/>
      <c r="AI5" s="543"/>
      <c r="AJ5" s="543"/>
      <c r="AK5" s="543"/>
      <c r="AL5" s="543"/>
      <c r="AM5" s="543"/>
      <c r="AN5" s="543"/>
      <c r="AO5" s="543"/>
      <c r="AP5" s="543"/>
      <c r="AQ5" s="543"/>
      <c r="AR5" s="543"/>
      <c r="AS5" s="546"/>
      <c r="AT5" s="543"/>
      <c r="AU5" s="543"/>
      <c r="AV5" s="543"/>
      <c r="AW5" s="543"/>
      <c r="AX5" s="543"/>
      <c r="AY5" s="543"/>
      <c r="AZ5" s="543"/>
      <c r="BA5" s="543"/>
      <c r="BB5" s="543"/>
      <c r="BC5" s="543"/>
      <c r="BD5" s="543"/>
      <c r="BE5" s="543"/>
      <c r="BF5" s="546"/>
      <c r="BG5" s="543"/>
      <c r="BH5" s="543"/>
      <c r="BI5" s="543"/>
      <c r="BJ5" s="543"/>
      <c r="BK5" s="543"/>
      <c r="BL5" s="543"/>
      <c r="BM5" s="543"/>
      <c r="BN5" s="543"/>
      <c r="BO5" s="543"/>
      <c r="BP5" s="543"/>
      <c r="BQ5" s="543"/>
      <c r="BR5" s="543"/>
      <c r="BS5" s="546"/>
    </row>
    <row r="6" spans="1:71" s="541" customFormat="1" ht="16.8" thickBot="1">
      <c r="D6" s="547" t="s">
        <v>307</v>
      </c>
      <c r="E6" s="548"/>
      <c r="F6" s="548"/>
      <c r="G6" s="548"/>
      <c r="H6" s="548"/>
      <c r="I6" s="548"/>
      <c r="J6" s="548"/>
      <c r="K6" s="548"/>
      <c r="L6" s="548"/>
      <c r="M6" s="548"/>
      <c r="N6" s="548"/>
      <c r="O6" s="548"/>
      <c r="P6" s="548"/>
      <c r="Q6" s="549"/>
      <c r="R6" s="547" t="s">
        <v>385</v>
      </c>
      <c r="S6" s="548"/>
      <c r="T6" s="548"/>
      <c r="U6" s="548"/>
      <c r="V6" s="548"/>
      <c r="W6" s="548"/>
      <c r="X6" s="548"/>
      <c r="Y6" s="548"/>
      <c r="Z6" s="548"/>
      <c r="AA6" s="548"/>
      <c r="AB6" s="548"/>
      <c r="AC6" s="548"/>
      <c r="AD6" s="548"/>
      <c r="AE6" s="549"/>
      <c r="AF6" s="547" t="s">
        <v>390</v>
      </c>
      <c r="AG6" s="548"/>
      <c r="AH6" s="548"/>
      <c r="AI6" s="548"/>
      <c r="AJ6" s="548"/>
      <c r="AK6" s="548"/>
      <c r="AL6" s="548"/>
      <c r="AM6" s="548"/>
      <c r="AN6" s="548"/>
      <c r="AO6" s="548"/>
      <c r="AP6" s="548"/>
      <c r="AQ6" s="548"/>
      <c r="AR6" s="548"/>
      <c r="AS6" s="549"/>
      <c r="AT6" s="547" t="s">
        <v>559</v>
      </c>
      <c r="AU6" s="548"/>
      <c r="AV6" s="548"/>
      <c r="AW6" s="548"/>
      <c r="AX6" s="548"/>
      <c r="AY6" s="548"/>
      <c r="AZ6" s="548"/>
      <c r="BA6" s="548"/>
      <c r="BB6" s="548"/>
      <c r="BC6" s="548"/>
      <c r="BD6" s="548"/>
      <c r="BE6" s="548"/>
      <c r="BF6" s="549"/>
      <c r="BG6" s="547" t="s">
        <v>560</v>
      </c>
      <c r="BH6" s="548"/>
      <c r="BI6" s="548"/>
      <c r="BJ6" s="548"/>
      <c r="BK6" s="548"/>
      <c r="BL6" s="548"/>
      <c r="BM6" s="548"/>
      <c r="BN6" s="548"/>
      <c r="BO6" s="548"/>
      <c r="BP6" s="548"/>
      <c r="BQ6" s="548"/>
      <c r="BR6" s="548"/>
      <c r="BS6" s="549"/>
    </row>
    <row r="7" spans="1:71" s="541" customFormat="1">
      <c r="A7" s="550"/>
      <c r="B7" s="551" t="s">
        <v>308</v>
      </c>
      <c r="C7" s="552" t="s">
        <v>309</v>
      </c>
      <c r="D7" s="553" t="s">
        <v>310</v>
      </c>
      <c r="E7" s="554" t="s">
        <v>311</v>
      </c>
      <c r="F7" s="554" t="s">
        <v>312</v>
      </c>
      <c r="G7" s="554" t="s">
        <v>313</v>
      </c>
      <c r="H7" s="554" t="s">
        <v>314</v>
      </c>
      <c r="I7" s="554" t="s">
        <v>315</v>
      </c>
      <c r="J7" s="554" t="s">
        <v>316</v>
      </c>
      <c r="K7" s="554" t="s">
        <v>317</v>
      </c>
      <c r="L7" s="554" t="s">
        <v>318</v>
      </c>
      <c r="M7" s="554" t="s">
        <v>319</v>
      </c>
      <c r="N7" s="554" t="s">
        <v>320</v>
      </c>
      <c r="O7" s="554" t="s">
        <v>321</v>
      </c>
      <c r="P7" s="554" t="s">
        <v>373</v>
      </c>
      <c r="Q7" s="555" t="s">
        <v>322</v>
      </c>
      <c r="R7" s="553" t="s">
        <v>310</v>
      </c>
      <c r="S7" s="554" t="s">
        <v>311</v>
      </c>
      <c r="T7" s="554" t="s">
        <v>312</v>
      </c>
      <c r="U7" s="554" t="s">
        <v>313</v>
      </c>
      <c r="V7" s="554" t="s">
        <v>314</v>
      </c>
      <c r="W7" s="554" t="s">
        <v>315</v>
      </c>
      <c r="X7" s="554" t="s">
        <v>316</v>
      </c>
      <c r="Y7" s="554" t="s">
        <v>317</v>
      </c>
      <c r="Z7" s="554" t="s">
        <v>318</v>
      </c>
      <c r="AA7" s="554" t="s">
        <v>319</v>
      </c>
      <c r="AB7" s="554" t="s">
        <v>320</v>
      </c>
      <c r="AC7" s="554" t="s">
        <v>321</v>
      </c>
      <c r="AD7" s="554" t="s">
        <v>456</v>
      </c>
      <c r="AE7" s="555" t="s">
        <v>384</v>
      </c>
      <c r="AF7" s="553" t="s">
        <v>310</v>
      </c>
      <c r="AG7" s="554" t="s">
        <v>311</v>
      </c>
      <c r="AH7" s="554" t="s">
        <v>312</v>
      </c>
      <c r="AI7" s="554" t="s">
        <v>313</v>
      </c>
      <c r="AJ7" s="554" t="s">
        <v>314</v>
      </c>
      <c r="AK7" s="554" t="s">
        <v>315</v>
      </c>
      <c r="AL7" s="554" t="s">
        <v>316</v>
      </c>
      <c r="AM7" s="554" t="s">
        <v>317</v>
      </c>
      <c r="AN7" s="554" t="s">
        <v>318</v>
      </c>
      <c r="AO7" s="554" t="s">
        <v>319</v>
      </c>
      <c r="AP7" s="554" t="s">
        <v>320</v>
      </c>
      <c r="AQ7" s="554" t="s">
        <v>321</v>
      </c>
      <c r="AR7" s="554" t="s">
        <v>493</v>
      </c>
      <c r="AS7" s="555" t="s">
        <v>391</v>
      </c>
      <c r="AT7" s="553" t="s">
        <v>310</v>
      </c>
      <c r="AU7" s="554" t="s">
        <v>311</v>
      </c>
      <c r="AV7" s="554" t="s">
        <v>312</v>
      </c>
      <c r="AW7" s="554" t="s">
        <v>313</v>
      </c>
      <c r="AX7" s="554" t="s">
        <v>314</v>
      </c>
      <c r="AY7" s="554" t="s">
        <v>315</v>
      </c>
      <c r="AZ7" s="554" t="s">
        <v>316</v>
      </c>
      <c r="BA7" s="554" t="s">
        <v>317</v>
      </c>
      <c r="BB7" s="554" t="s">
        <v>318</v>
      </c>
      <c r="BC7" s="554" t="s">
        <v>319</v>
      </c>
      <c r="BD7" s="554" t="s">
        <v>320</v>
      </c>
      <c r="BE7" s="554" t="s">
        <v>321</v>
      </c>
      <c r="BF7" s="555" t="s">
        <v>561</v>
      </c>
      <c r="BG7" s="553" t="s">
        <v>310</v>
      </c>
      <c r="BH7" s="554" t="s">
        <v>311</v>
      </c>
      <c r="BI7" s="554" t="s">
        <v>312</v>
      </c>
      <c r="BJ7" s="554" t="s">
        <v>313</v>
      </c>
      <c r="BK7" s="554" t="s">
        <v>314</v>
      </c>
      <c r="BL7" s="554" t="s">
        <v>315</v>
      </c>
      <c r="BM7" s="554" t="s">
        <v>316</v>
      </c>
      <c r="BN7" s="554" t="s">
        <v>317</v>
      </c>
      <c r="BO7" s="554" t="s">
        <v>318</v>
      </c>
      <c r="BP7" s="554" t="s">
        <v>319</v>
      </c>
      <c r="BQ7" s="554" t="s">
        <v>320</v>
      </c>
      <c r="BR7" s="554" t="s">
        <v>321</v>
      </c>
      <c r="BS7" s="555" t="s">
        <v>562</v>
      </c>
    </row>
    <row r="8" spans="1:71">
      <c r="A8" s="556"/>
      <c r="B8" s="557" t="s">
        <v>323</v>
      </c>
      <c r="C8" s="558" t="s">
        <v>239</v>
      </c>
      <c r="D8" s="559">
        <v>2514684.58</v>
      </c>
      <c r="E8" s="560">
        <v>2585935.42</v>
      </c>
      <c r="F8" s="560">
        <v>2598213.4700000002</v>
      </c>
      <c r="G8" s="560">
        <v>2610666.7900000005</v>
      </c>
      <c r="H8" s="560">
        <v>2623766.2699999996</v>
      </c>
      <c r="I8" s="560">
        <v>2623233.23</v>
      </c>
      <c r="J8" s="560">
        <v>2624069.0799999996</v>
      </c>
      <c r="K8" s="560">
        <v>2608026.16</v>
      </c>
      <c r="L8" s="560">
        <v>2705537.6700000009</v>
      </c>
      <c r="M8" s="560">
        <v>2676223.87</v>
      </c>
      <c r="N8" s="560">
        <v>2691995.0100000002</v>
      </c>
      <c r="O8" s="560">
        <v>2703259.57</v>
      </c>
      <c r="P8" s="560">
        <v>7242423.8799999952</v>
      </c>
      <c r="Q8" s="561">
        <v>38808035</v>
      </c>
      <c r="R8" s="559">
        <v>3096402.8099999996</v>
      </c>
      <c r="S8" s="560">
        <v>3194174</v>
      </c>
      <c r="T8" s="560">
        <v>3253494</v>
      </c>
      <c r="U8" s="560">
        <v>3270127</v>
      </c>
      <c r="V8" s="560">
        <v>3293032</v>
      </c>
      <c r="W8" s="560">
        <v>3279309</v>
      </c>
      <c r="X8" s="560">
        <v>3306120</v>
      </c>
      <c r="Y8" s="560">
        <v>3309274</v>
      </c>
      <c r="Z8" s="560">
        <v>3307565</v>
      </c>
      <c r="AA8" s="560">
        <v>3344939</v>
      </c>
      <c r="AB8" s="560">
        <v>3374836.9611499994</v>
      </c>
      <c r="AC8" s="560">
        <v>3508276</v>
      </c>
      <c r="AD8" s="560">
        <v>2436195.2288499977</v>
      </c>
      <c r="AE8" s="561">
        <v>41973745</v>
      </c>
      <c r="AF8" s="559">
        <v>3396100</v>
      </c>
      <c r="AG8" s="560">
        <v>3389551</v>
      </c>
      <c r="AH8" s="560">
        <v>3395526</v>
      </c>
      <c r="AI8" s="560">
        <v>3698088</v>
      </c>
      <c r="AJ8" s="560">
        <v>3373340</v>
      </c>
      <c r="AK8" s="560">
        <v>3345594</v>
      </c>
      <c r="AL8" s="560">
        <v>3364332.5195340002</v>
      </c>
      <c r="AM8" s="560">
        <v>3393933</v>
      </c>
      <c r="AN8" s="560">
        <v>3403987</v>
      </c>
      <c r="AO8" s="560">
        <v>3400701</v>
      </c>
      <c r="AP8" s="560">
        <v>3432343.9626000039</v>
      </c>
      <c r="AQ8" s="560">
        <v>3394121.1704599983</v>
      </c>
      <c r="AR8" s="560">
        <v>-222240.6525940015</v>
      </c>
      <c r="AS8" s="561">
        <v>40765377</v>
      </c>
      <c r="AT8" s="559">
        <v>3298469</v>
      </c>
      <c r="AU8" s="560">
        <v>3287795</v>
      </c>
      <c r="AV8" s="560">
        <v>3309750</v>
      </c>
      <c r="AW8" s="560">
        <v>3319254</v>
      </c>
      <c r="AX8" s="560">
        <v>3277057</v>
      </c>
      <c r="AY8" s="560">
        <v>3398023.3066880004</v>
      </c>
      <c r="AZ8" s="560">
        <v>3793473.2822186667</v>
      </c>
      <c r="BA8" s="560">
        <v>3793473.2822186667</v>
      </c>
      <c r="BB8" s="560">
        <v>3793473.2822186667</v>
      </c>
      <c r="BC8" s="560">
        <v>3793473.2822186667</v>
      </c>
      <c r="BD8" s="560">
        <v>3793473.2822186667</v>
      </c>
      <c r="BE8" s="560">
        <v>3793473.2822186667</v>
      </c>
      <c r="BF8" s="561">
        <v>42651188</v>
      </c>
      <c r="BG8" s="559">
        <v>3512842.0833333335</v>
      </c>
      <c r="BH8" s="560">
        <v>3512842.0833333335</v>
      </c>
      <c r="BI8" s="560">
        <v>3512842.0833333335</v>
      </c>
      <c r="BJ8" s="560">
        <v>3512842.0833333335</v>
      </c>
      <c r="BK8" s="560">
        <v>3512842.0833333335</v>
      </c>
      <c r="BL8" s="560">
        <v>3512842.0833333335</v>
      </c>
      <c r="BM8" s="560">
        <v>3512842.0833333335</v>
      </c>
      <c r="BN8" s="560">
        <v>3512842.0833333335</v>
      </c>
      <c r="BO8" s="560">
        <v>3512842.0833333335</v>
      </c>
      <c r="BP8" s="560">
        <v>3512842.0833333335</v>
      </c>
      <c r="BQ8" s="560">
        <v>3512842.0833333335</v>
      </c>
      <c r="BR8" s="560">
        <v>3512842.0833333335</v>
      </c>
      <c r="BS8" s="561">
        <v>42154105</v>
      </c>
    </row>
    <row r="9" spans="1:71">
      <c r="A9" s="556"/>
      <c r="B9" s="557" t="s">
        <v>324</v>
      </c>
      <c r="C9" s="558" t="s">
        <v>240</v>
      </c>
      <c r="D9" s="559">
        <v>70908.530000000013</v>
      </c>
      <c r="E9" s="560">
        <v>71142.87</v>
      </c>
      <c r="F9" s="560">
        <v>71926.489999999991</v>
      </c>
      <c r="G9" s="560">
        <v>72638.959999999992</v>
      </c>
      <c r="H9" s="560">
        <v>73684.23</v>
      </c>
      <c r="I9" s="560">
        <v>73887.580000000016</v>
      </c>
      <c r="J9" s="560">
        <v>73690.36</v>
      </c>
      <c r="K9" s="560">
        <v>85200.61</v>
      </c>
      <c r="L9" s="560">
        <v>74283.300000000017</v>
      </c>
      <c r="M9" s="560">
        <v>74077.56</v>
      </c>
      <c r="N9" s="560">
        <v>80722.499999999913</v>
      </c>
      <c r="O9" s="560">
        <v>74026.240000000005</v>
      </c>
      <c r="P9" s="560">
        <v>205623.77000000014</v>
      </c>
      <c r="Q9" s="561">
        <v>1101813</v>
      </c>
      <c r="R9" s="559">
        <v>76921</v>
      </c>
      <c r="S9" s="560">
        <v>98522</v>
      </c>
      <c r="T9" s="560">
        <v>114374</v>
      </c>
      <c r="U9" s="560">
        <v>107997</v>
      </c>
      <c r="V9" s="560">
        <v>106827</v>
      </c>
      <c r="W9" s="560">
        <v>131015</v>
      </c>
      <c r="X9" s="560">
        <v>123514</v>
      </c>
      <c r="Y9" s="560">
        <v>493480</v>
      </c>
      <c r="Z9" s="560">
        <v>130500.70996300009</v>
      </c>
      <c r="AA9" s="560">
        <v>122866</v>
      </c>
      <c r="AB9" s="560">
        <v>148769</v>
      </c>
      <c r="AC9" s="560">
        <v>223593</v>
      </c>
      <c r="AD9" s="560">
        <v>-413973.70996300009</v>
      </c>
      <c r="AE9" s="561">
        <v>1464405</v>
      </c>
      <c r="AF9" s="559">
        <v>91742</v>
      </c>
      <c r="AG9" s="560">
        <v>105332</v>
      </c>
      <c r="AH9" s="560">
        <v>111813</v>
      </c>
      <c r="AI9" s="560">
        <v>115548</v>
      </c>
      <c r="AJ9" s="560">
        <v>118039</v>
      </c>
      <c r="AK9" s="560">
        <v>120018</v>
      </c>
      <c r="AL9" s="560">
        <v>122143.48611199998</v>
      </c>
      <c r="AM9" s="560">
        <v>125027</v>
      </c>
      <c r="AN9" s="560">
        <v>122260</v>
      </c>
      <c r="AO9" s="560">
        <v>841132</v>
      </c>
      <c r="AP9" s="560">
        <v>230209.57314999995</v>
      </c>
      <c r="AQ9" s="560">
        <v>197562.49096799997</v>
      </c>
      <c r="AR9" s="560">
        <v>-930932.55022999994</v>
      </c>
      <c r="AS9" s="561">
        <v>1369894</v>
      </c>
      <c r="AT9" s="559">
        <v>85222</v>
      </c>
      <c r="AU9" s="560">
        <v>103794</v>
      </c>
      <c r="AV9" s="560">
        <v>306121</v>
      </c>
      <c r="AW9" s="560">
        <v>126974</v>
      </c>
      <c r="AX9" s="560">
        <v>115603</v>
      </c>
      <c r="AY9" s="560">
        <v>224485.485824</v>
      </c>
      <c r="AZ9" s="560">
        <v>-36271.08097066667</v>
      </c>
      <c r="BA9" s="560">
        <v>-36271.08097066667</v>
      </c>
      <c r="BB9" s="560">
        <v>-36271.08097066667</v>
      </c>
      <c r="BC9" s="560">
        <v>-36271.08097066667</v>
      </c>
      <c r="BD9" s="560">
        <v>-36271.08097066667</v>
      </c>
      <c r="BE9" s="560">
        <v>-36271.08097066667</v>
      </c>
      <c r="BF9" s="561">
        <v>744573</v>
      </c>
      <c r="BG9" s="559">
        <v>133366.91666666666</v>
      </c>
      <c r="BH9" s="560">
        <v>133366.91666666666</v>
      </c>
      <c r="BI9" s="560">
        <v>133366.91666666666</v>
      </c>
      <c r="BJ9" s="560">
        <v>133366.91666666666</v>
      </c>
      <c r="BK9" s="560">
        <v>133366.91666666666</v>
      </c>
      <c r="BL9" s="560">
        <v>133366.91666666666</v>
      </c>
      <c r="BM9" s="560">
        <v>133366.91666666666</v>
      </c>
      <c r="BN9" s="560">
        <v>133366.91666666666</v>
      </c>
      <c r="BO9" s="560">
        <v>133366.91666666666</v>
      </c>
      <c r="BP9" s="560">
        <v>133366.91666666666</v>
      </c>
      <c r="BQ9" s="560">
        <v>133366.91666666666</v>
      </c>
      <c r="BR9" s="560">
        <v>133366.91666666666</v>
      </c>
      <c r="BS9" s="561">
        <v>1600403</v>
      </c>
    </row>
    <row r="10" spans="1:71">
      <c r="A10" s="556"/>
      <c r="B10" s="557" t="s">
        <v>325</v>
      </c>
      <c r="C10" s="558" t="s">
        <v>241</v>
      </c>
      <c r="D10" s="559">
        <v>0</v>
      </c>
      <c r="E10" s="560">
        <v>0</v>
      </c>
      <c r="F10" s="560">
        <v>3200.0000000000005</v>
      </c>
      <c r="G10" s="560">
        <v>0</v>
      </c>
      <c r="H10" s="560">
        <v>0</v>
      </c>
      <c r="I10" s="560">
        <v>0</v>
      </c>
      <c r="J10" s="560">
        <v>0</v>
      </c>
      <c r="K10" s="560">
        <v>140.95999999999998</v>
      </c>
      <c r="L10" s="560">
        <v>5348.4000000000005</v>
      </c>
      <c r="M10" s="560">
        <v>7772.24</v>
      </c>
      <c r="N10" s="560">
        <v>15221.599999999997</v>
      </c>
      <c r="O10" s="560">
        <v>4829.08</v>
      </c>
      <c r="P10" s="560">
        <v>34931.72</v>
      </c>
      <c r="Q10" s="561">
        <v>71444</v>
      </c>
      <c r="R10" s="559">
        <v>0</v>
      </c>
      <c r="S10" s="560">
        <v>0</v>
      </c>
      <c r="T10" s="560">
        <v>0</v>
      </c>
      <c r="U10" s="560">
        <v>2500</v>
      </c>
      <c r="V10" s="560">
        <v>0</v>
      </c>
      <c r="W10" s="560">
        <v>0</v>
      </c>
      <c r="X10" s="560">
        <v>0</v>
      </c>
      <c r="Y10" s="560">
        <v>4937</v>
      </c>
      <c r="Z10" s="560">
        <v>2060</v>
      </c>
      <c r="AA10" s="560">
        <v>616</v>
      </c>
      <c r="AB10" s="560">
        <v>834.2800000000002</v>
      </c>
      <c r="AC10" s="560">
        <v>25</v>
      </c>
      <c r="AD10" s="560">
        <v>21032.720000000001</v>
      </c>
      <c r="AE10" s="561">
        <v>32005</v>
      </c>
      <c r="AF10" s="559">
        <v>0</v>
      </c>
      <c r="AG10" s="560">
        <v>0</v>
      </c>
      <c r="AH10" s="560">
        <v>0</v>
      </c>
      <c r="AI10" s="560">
        <v>0</v>
      </c>
      <c r="AJ10" s="560">
        <v>0</v>
      </c>
      <c r="AK10" s="560">
        <v>0</v>
      </c>
      <c r="AL10" s="560">
        <v>0</v>
      </c>
      <c r="AM10" s="560">
        <v>0</v>
      </c>
      <c r="AN10" s="560">
        <v>0</v>
      </c>
      <c r="AO10" s="560">
        <v>0</v>
      </c>
      <c r="AP10" s="560">
        <v>15.970000000000002</v>
      </c>
      <c r="AQ10" s="560">
        <v>0</v>
      </c>
      <c r="AR10" s="560">
        <v>3734.03</v>
      </c>
      <c r="AS10" s="561">
        <v>3750</v>
      </c>
      <c r="AT10" s="559">
        <v>0</v>
      </c>
      <c r="AU10" s="560">
        <v>400</v>
      </c>
      <c r="AV10" s="560">
        <v>0</v>
      </c>
      <c r="AW10" s="560">
        <v>0</v>
      </c>
      <c r="AX10" s="560">
        <v>0</v>
      </c>
      <c r="AY10" s="560">
        <v>0</v>
      </c>
      <c r="AZ10" s="560">
        <v>-66.666666666666671</v>
      </c>
      <c r="BA10" s="560">
        <v>-66.666666666666671</v>
      </c>
      <c r="BB10" s="560">
        <v>-66.666666666666671</v>
      </c>
      <c r="BC10" s="560">
        <v>-66.666666666666671</v>
      </c>
      <c r="BD10" s="560">
        <v>-66.666666666666671</v>
      </c>
      <c r="BE10" s="560">
        <v>-66.666666666666671</v>
      </c>
      <c r="BF10" s="561">
        <v>0</v>
      </c>
      <c r="BG10" s="559">
        <v>2314.1666666666665</v>
      </c>
      <c r="BH10" s="560">
        <v>2314.1666666666665</v>
      </c>
      <c r="BI10" s="560">
        <v>2314.1666666666665</v>
      </c>
      <c r="BJ10" s="560">
        <v>2314.1666666666665</v>
      </c>
      <c r="BK10" s="560">
        <v>2314.1666666666665</v>
      </c>
      <c r="BL10" s="560">
        <v>2314.1666666666665</v>
      </c>
      <c r="BM10" s="560">
        <v>2314.1666666666665</v>
      </c>
      <c r="BN10" s="560">
        <v>2314.1666666666665</v>
      </c>
      <c r="BO10" s="560">
        <v>2314.1666666666665</v>
      </c>
      <c r="BP10" s="560">
        <v>2314.1666666666665</v>
      </c>
      <c r="BQ10" s="560">
        <v>2314.1666666666665</v>
      </c>
      <c r="BR10" s="560">
        <v>2314.1666666666665</v>
      </c>
      <c r="BS10" s="561">
        <v>27770</v>
      </c>
    </row>
    <row r="11" spans="1:71">
      <c r="A11" s="556"/>
      <c r="B11" s="557" t="s">
        <v>326</v>
      </c>
      <c r="C11" s="558" t="s">
        <v>242</v>
      </c>
      <c r="D11" s="559"/>
      <c r="E11" s="560"/>
      <c r="F11" s="560"/>
      <c r="G11" s="560"/>
      <c r="H11" s="560"/>
      <c r="I11" s="560"/>
      <c r="J11" s="560"/>
      <c r="K11" s="560"/>
      <c r="L11" s="560"/>
      <c r="M11" s="560"/>
      <c r="N11" s="560"/>
      <c r="O11" s="560"/>
      <c r="P11" s="560">
        <v>0</v>
      </c>
      <c r="Q11" s="561">
        <v>0</v>
      </c>
      <c r="R11" s="559">
        <v>0</v>
      </c>
      <c r="S11" s="560">
        <v>0</v>
      </c>
      <c r="T11" s="560">
        <v>0</v>
      </c>
      <c r="U11" s="560">
        <v>0</v>
      </c>
      <c r="V11" s="560">
        <v>0</v>
      </c>
      <c r="W11" s="560">
        <v>0</v>
      </c>
      <c r="X11" s="560">
        <v>0</v>
      </c>
      <c r="Y11" s="560">
        <v>0</v>
      </c>
      <c r="Z11" s="560">
        <v>0</v>
      </c>
      <c r="AA11" s="560">
        <v>0</v>
      </c>
      <c r="AB11" s="560">
        <v>0</v>
      </c>
      <c r="AC11" s="560">
        <v>0</v>
      </c>
      <c r="AD11" s="560">
        <v>0</v>
      </c>
      <c r="AE11" s="561"/>
      <c r="AF11" s="559">
        <v>0</v>
      </c>
      <c r="AG11" s="560">
        <v>0</v>
      </c>
      <c r="AH11" s="560">
        <v>0</v>
      </c>
      <c r="AI11" s="560">
        <v>0</v>
      </c>
      <c r="AJ11" s="560">
        <v>0</v>
      </c>
      <c r="AK11" s="560">
        <v>0</v>
      </c>
      <c r="AL11" s="560">
        <v>0</v>
      </c>
      <c r="AM11" s="560">
        <v>0</v>
      </c>
      <c r="AN11" s="560">
        <v>0</v>
      </c>
      <c r="AO11" s="560">
        <v>0</v>
      </c>
      <c r="AP11" s="560">
        <v>0</v>
      </c>
      <c r="AQ11" s="560">
        <v>0</v>
      </c>
      <c r="AR11" s="560">
        <v>0</v>
      </c>
      <c r="AS11" s="561"/>
      <c r="AT11" s="559">
        <v>0</v>
      </c>
      <c r="AU11" s="560">
        <v>0</v>
      </c>
      <c r="AV11" s="560">
        <v>0</v>
      </c>
      <c r="AW11" s="560">
        <v>0</v>
      </c>
      <c r="AX11" s="560">
        <v>0</v>
      </c>
      <c r="AY11" s="560">
        <v>0</v>
      </c>
      <c r="AZ11" s="560">
        <v>0</v>
      </c>
      <c r="BA11" s="560">
        <v>0</v>
      </c>
      <c r="BB11" s="560">
        <v>0</v>
      </c>
      <c r="BC11" s="560">
        <v>0</v>
      </c>
      <c r="BD11" s="560">
        <v>0</v>
      </c>
      <c r="BE11" s="560">
        <v>0</v>
      </c>
      <c r="BF11" s="561">
        <v>0</v>
      </c>
      <c r="BG11" s="559">
        <v>0</v>
      </c>
      <c r="BH11" s="560">
        <v>0</v>
      </c>
      <c r="BI11" s="560">
        <v>0</v>
      </c>
      <c r="BJ11" s="560">
        <v>0</v>
      </c>
      <c r="BK11" s="560">
        <v>0</v>
      </c>
      <c r="BL11" s="560">
        <v>0</v>
      </c>
      <c r="BM11" s="560">
        <v>0</v>
      </c>
      <c r="BN11" s="560">
        <v>0</v>
      </c>
      <c r="BO11" s="560">
        <v>0</v>
      </c>
      <c r="BP11" s="560">
        <v>0</v>
      </c>
      <c r="BQ11" s="560">
        <v>0</v>
      </c>
      <c r="BR11" s="560">
        <v>0</v>
      </c>
      <c r="BS11" s="561">
        <v>0</v>
      </c>
    </row>
    <row r="12" spans="1:71">
      <c r="A12" s="556"/>
      <c r="B12" s="557" t="s">
        <v>327</v>
      </c>
      <c r="C12" s="558" t="s">
        <v>243</v>
      </c>
      <c r="D12" s="559">
        <v>0</v>
      </c>
      <c r="E12" s="560">
        <v>0</v>
      </c>
      <c r="F12" s="560">
        <v>1676.1100000000001</v>
      </c>
      <c r="G12" s="560">
        <v>0</v>
      </c>
      <c r="H12" s="560">
        <v>0</v>
      </c>
      <c r="I12" s="560">
        <v>4381.26</v>
      </c>
      <c r="J12" s="560">
        <v>709.62</v>
      </c>
      <c r="K12" s="560">
        <v>72.820000000000007</v>
      </c>
      <c r="L12" s="560">
        <v>1323.3</v>
      </c>
      <c r="M12" s="560">
        <v>160.37</v>
      </c>
      <c r="N12" s="560">
        <v>402.74999999999977</v>
      </c>
      <c r="O12" s="560">
        <v>845.73</v>
      </c>
      <c r="P12" s="560">
        <v>2154.0399999999991</v>
      </c>
      <c r="Q12" s="561">
        <v>11726</v>
      </c>
      <c r="R12" s="559">
        <v>717</v>
      </c>
      <c r="S12" s="560">
        <v>2436</v>
      </c>
      <c r="T12" s="560">
        <v>935</v>
      </c>
      <c r="U12" s="560">
        <v>495</v>
      </c>
      <c r="V12" s="560">
        <v>4962</v>
      </c>
      <c r="W12" s="560">
        <v>1502</v>
      </c>
      <c r="X12" s="560">
        <v>1338</v>
      </c>
      <c r="Y12" s="560">
        <v>37830</v>
      </c>
      <c r="Z12" s="560">
        <v>27540</v>
      </c>
      <c r="AA12" s="560">
        <v>25731</v>
      </c>
      <c r="AB12" s="560">
        <v>24100.153194000002</v>
      </c>
      <c r="AC12" s="560">
        <v>20842</v>
      </c>
      <c r="AD12" s="560">
        <v>-139069.15319400001</v>
      </c>
      <c r="AE12" s="561">
        <v>9359</v>
      </c>
      <c r="AF12" s="559">
        <v>3522</v>
      </c>
      <c r="AG12" s="560">
        <v>13607</v>
      </c>
      <c r="AH12" s="560"/>
      <c r="AI12" s="560">
        <v>2182</v>
      </c>
      <c r="AJ12" s="560">
        <v>-342</v>
      </c>
      <c r="AK12" s="560">
        <v>5367</v>
      </c>
      <c r="AL12" s="560">
        <v>2572.9738820000002</v>
      </c>
      <c r="AM12" s="560">
        <v>859</v>
      </c>
      <c r="AN12" s="560">
        <v>-488</v>
      </c>
      <c r="AO12" s="560">
        <v>13310</v>
      </c>
      <c r="AP12" s="560">
        <v>0</v>
      </c>
      <c r="AQ12" s="560"/>
      <c r="AR12" s="560">
        <v>-36172.973881999998</v>
      </c>
      <c r="AS12" s="561">
        <v>4417</v>
      </c>
      <c r="AT12" s="559">
        <v>26</v>
      </c>
      <c r="AU12" s="560">
        <v>336</v>
      </c>
      <c r="AV12" s="560">
        <v>1409</v>
      </c>
      <c r="AW12" s="560">
        <v>679</v>
      </c>
      <c r="AX12" s="560">
        <v>1874</v>
      </c>
      <c r="AY12" s="560">
        <v>560.62596799999994</v>
      </c>
      <c r="AZ12" s="560">
        <v>2331.7290053333331</v>
      </c>
      <c r="BA12" s="560">
        <v>2331.7290053333331</v>
      </c>
      <c r="BB12" s="560">
        <v>2331.7290053333331</v>
      </c>
      <c r="BC12" s="560">
        <v>2331.7290053333331</v>
      </c>
      <c r="BD12" s="560">
        <v>2331.7290053333331</v>
      </c>
      <c r="BE12" s="560">
        <v>2331.7290053333331</v>
      </c>
      <c r="BF12" s="561">
        <v>18875</v>
      </c>
      <c r="BG12" s="559">
        <v>675.91666666666663</v>
      </c>
      <c r="BH12" s="560">
        <v>675.91666666666663</v>
      </c>
      <c r="BI12" s="560">
        <v>675.91666666666663</v>
      </c>
      <c r="BJ12" s="560">
        <v>675.91666666666663</v>
      </c>
      <c r="BK12" s="560">
        <v>675.91666666666663</v>
      </c>
      <c r="BL12" s="560">
        <v>675.91666666666663</v>
      </c>
      <c r="BM12" s="560">
        <v>675.91666666666663</v>
      </c>
      <c r="BN12" s="560">
        <v>675.91666666666663</v>
      </c>
      <c r="BO12" s="560">
        <v>675.91666666666663</v>
      </c>
      <c r="BP12" s="560">
        <v>675.91666666666663</v>
      </c>
      <c r="BQ12" s="560">
        <v>675.91666666666663</v>
      </c>
      <c r="BR12" s="560">
        <v>675.91666666666663</v>
      </c>
      <c r="BS12" s="561">
        <v>8111</v>
      </c>
    </row>
    <row r="13" spans="1:71">
      <c r="A13" s="556"/>
      <c r="B13" s="557" t="s">
        <v>328</v>
      </c>
      <c r="C13" s="558" t="s">
        <v>244</v>
      </c>
      <c r="D13" s="559">
        <v>0</v>
      </c>
      <c r="E13" s="560">
        <v>0</v>
      </c>
      <c r="F13" s="560">
        <v>0</v>
      </c>
      <c r="G13" s="560">
        <v>0</v>
      </c>
      <c r="H13" s="560">
        <v>0</v>
      </c>
      <c r="I13" s="560">
        <v>159.06</v>
      </c>
      <c r="J13" s="560">
        <v>0</v>
      </c>
      <c r="K13" s="560">
        <v>0</v>
      </c>
      <c r="L13" s="560">
        <v>0</v>
      </c>
      <c r="M13" s="560">
        <v>0</v>
      </c>
      <c r="N13" s="560">
        <v>0</v>
      </c>
      <c r="O13" s="560">
        <v>0</v>
      </c>
      <c r="P13" s="560">
        <v>35.94</v>
      </c>
      <c r="Q13" s="561">
        <v>195</v>
      </c>
      <c r="R13" s="559">
        <v>0</v>
      </c>
      <c r="S13" s="560">
        <v>62689</v>
      </c>
      <c r="T13" s="560">
        <v>8209</v>
      </c>
      <c r="U13" s="560">
        <v>36440</v>
      </c>
      <c r="V13" s="560">
        <v>78169</v>
      </c>
      <c r="W13" s="560">
        <v>5712</v>
      </c>
      <c r="X13" s="560">
        <v>44241</v>
      </c>
      <c r="Y13" s="560">
        <v>84119</v>
      </c>
      <c r="Z13" s="560">
        <v>55628.523976999968</v>
      </c>
      <c r="AA13" s="560">
        <v>29066</v>
      </c>
      <c r="AB13" s="560">
        <v>54875.414564000021</v>
      </c>
      <c r="AC13" s="560">
        <v>1312</v>
      </c>
      <c r="AD13" s="560">
        <v>95611.061459000004</v>
      </c>
      <c r="AE13" s="561">
        <v>556072</v>
      </c>
      <c r="AF13" s="559">
        <v>48501</v>
      </c>
      <c r="AG13" s="560">
        <v>42643</v>
      </c>
      <c r="AH13" s="560">
        <v>1186</v>
      </c>
      <c r="AI13" s="560">
        <v>1785</v>
      </c>
      <c r="AJ13" s="560">
        <v>951</v>
      </c>
      <c r="AK13" s="560">
        <v>151614</v>
      </c>
      <c r="AL13" s="560">
        <v>145021.64107200009</v>
      </c>
      <c r="AM13" s="560">
        <v>14426</v>
      </c>
      <c r="AN13" s="560">
        <v>1972</v>
      </c>
      <c r="AO13" s="560">
        <v>997</v>
      </c>
      <c r="AP13" s="560">
        <v>6206.0076500000032</v>
      </c>
      <c r="AQ13" s="560">
        <v>3271.9028920000005</v>
      </c>
      <c r="AR13" s="560">
        <v>197282.44838599989</v>
      </c>
      <c r="AS13" s="561">
        <v>615857</v>
      </c>
      <c r="AT13" s="559">
        <v>42836</v>
      </c>
      <c r="AU13" s="560">
        <v>77143</v>
      </c>
      <c r="AV13" s="560">
        <v>4701</v>
      </c>
      <c r="AW13" s="560">
        <v>33107</v>
      </c>
      <c r="AX13" s="560">
        <v>10411</v>
      </c>
      <c r="AY13" s="560">
        <v>108974.47484800003</v>
      </c>
      <c r="AZ13" s="560">
        <v>-46195.412474666671</v>
      </c>
      <c r="BA13" s="560">
        <v>-46195.412474666671</v>
      </c>
      <c r="BB13" s="560">
        <v>-46195.412474666671</v>
      </c>
      <c r="BC13" s="560">
        <v>-46195.412474666671</v>
      </c>
      <c r="BD13" s="560">
        <v>-46195.412474666671</v>
      </c>
      <c r="BE13" s="560">
        <v>-46195.412474666671</v>
      </c>
      <c r="BF13" s="561">
        <v>0</v>
      </c>
      <c r="BG13" s="559">
        <v>56938</v>
      </c>
      <c r="BH13" s="560">
        <v>56938</v>
      </c>
      <c r="BI13" s="560">
        <v>56938</v>
      </c>
      <c r="BJ13" s="560">
        <v>56938</v>
      </c>
      <c r="BK13" s="560">
        <v>56938</v>
      </c>
      <c r="BL13" s="560">
        <v>56938</v>
      </c>
      <c r="BM13" s="560">
        <v>56938</v>
      </c>
      <c r="BN13" s="560">
        <v>56938</v>
      </c>
      <c r="BO13" s="560">
        <v>56938</v>
      </c>
      <c r="BP13" s="560">
        <v>56938</v>
      </c>
      <c r="BQ13" s="560">
        <v>56938</v>
      </c>
      <c r="BR13" s="560">
        <v>56938</v>
      </c>
      <c r="BS13" s="561">
        <v>683256</v>
      </c>
    </row>
    <row r="14" spans="1:71">
      <c r="A14" s="556"/>
      <c r="B14" s="557" t="s">
        <v>329</v>
      </c>
      <c r="C14" s="558" t="s">
        <v>245</v>
      </c>
      <c r="D14" s="559">
        <v>10251.450000000001</v>
      </c>
      <c r="E14" s="560">
        <v>272119.55999999994</v>
      </c>
      <c r="F14" s="560">
        <v>377915.17</v>
      </c>
      <c r="G14" s="560">
        <v>273906.84999999998</v>
      </c>
      <c r="H14" s="560">
        <v>298322.75</v>
      </c>
      <c r="I14" s="560">
        <v>353873.03</v>
      </c>
      <c r="J14" s="560">
        <v>310998.76</v>
      </c>
      <c r="K14" s="560">
        <v>266811.94999999995</v>
      </c>
      <c r="L14" s="560">
        <v>309740.27</v>
      </c>
      <c r="M14" s="560">
        <v>285202.7</v>
      </c>
      <c r="N14" s="560">
        <v>332965.12</v>
      </c>
      <c r="O14" s="560">
        <v>340273.06</v>
      </c>
      <c r="P14" s="560">
        <v>1877530.33</v>
      </c>
      <c r="Q14" s="561">
        <v>5309911</v>
      </c>
      <c r="R14" s="559">
        <v>12750</v>
      </c>
      <c r="S14" s="560">
        <v>260411</v>
      </c>
      <c r="T14" s="560">
        <v>337299</v>
      </c>
      <c r="U14" s="560">
        <v>401627</v>
      </c>
      <c r="V14" s="560">
        <v>343314</v>
      </c>
      <c r="W14" s="560">
        <v>304494</v>
      </c>
      <c r="X14" s="560">
        <v>345306</v>
      </c>
      <c r="Y14" s="560">
        <v>210024</v>
      </c>
      <c r="Z14" s="560">
        <v>61369.406913999992</v>
      </c>
      <c r="AA14" s="560">
        <v>58285</v>
      </c>
      <c r="AB14" s="560">
        <v>69631.953744000231</v>
      </c>
      <c r="AC14" s="560">
        <v>54301</v>
      </c>
      <c r="AD14" s="560">
        <v>1106252.6393419998</v>
      </c>
      <c r="AE14" s="561">
        <v>3565065</v>
      </c>
      <c r="AF14" s="559">
        <v>875</v>
      </c>
      <c r="AG14" s="560">
        <v>90503</v>
      </c>
      <c r="AH14" s="560">
        <v>85737</v>
      </c>
      <c r="AI14" s="560">
        <v>97639</v>
      </c>
      <c r="AJ14" s="560">
        <v>90751</v>
      </c>
      <c r="AK14" s="560">
        <v>72029</v>
      </c>
      <c r="AL14" s="560">
        <v>81798.010691999938</v>
      </c>
      <c r="AM14" s="560">
        <v>119120</v>
      </c>
      <c r="AN14" s="560">
        <v>117514</v>
      </c>
      <c r="AO14" s="560">
        <v>137475</v>
      </c>
      <c r="AP14" s="560">
        <v>63455.167800000061</v>
      </c>
      <c r="AQ14" s="560">
        <v>1547.1624000000002</v>
      </c>
      <c r="AR14" s="560">
        <v>3755648.6591079999</v>
      </c>
      <c r="AS14" s="561">
        <v>4714092</v>
      </c>
      <c r="AT14" s="559">
        <v>5471</v>
      </c>
      <c r="AU14" s="560">
        <v>49380</v>
      </c>
      <c r="AV14" s="560">
        <v>262895</v>
      </c>
      <c r="AW14" s="560">
        <v>349692</v>
      </c>
      <c r="AX14" s="560">
        <v>274067</v>
      </c>
      <c r="AY14" s="560">
        <v>209978.63484799996</v>
      </c>
      <c r="AZ14" s="560">
        <v>363208.56085866666</v>
      </c>
      <c r="BA14" s="560">
        <v>363208.56085866666</v>
      </c>
      <c r="BB14" s="560">
        <v>363208.56085866666</v>
      </c>
      <c r="BC14" s="560">
        <v>363208.56085866666</v>
      </c>
      <c r="BD14" s="560">
        <v>363208.56085866666</v>
      </c>
      <c r="BE14" s="560">
        <v>363208.56085866666</v>
      </c>
      <c r="BF14" s="561">
        <v>3330735</v>
      </c>
      <c r="BG14" s="559">
        <v>294608.16666666669</v>
      </c>
      <c r="BH14" s="560">
        <v>294608.16666666669</v>
      </c>
      <c r="BI14" s="560">
        <v>294608.16666666669</v>
      </c>
      <c r="BJ14" s="560">
        <v>294608.16666666669</v>
      </c>
      <c r="BK14" s="560">
        <v>294608.16666666669</v>
      </c>
      <c r="BL14" s="560">
        <v>294608.16666666669</v>
      </c>
      <c r="BM14" s="560">
        <v>294608.16666666669</v>
      </c>
      <c r="BN14" s="560">
        <v>294608.16666666669</v>
      </c>
      <c r="BO14" s="560">
        <v>294608.16666666669</v>
      </c>
      <c r="BP14" s="560">
        <v>294608.16666666669</v>
      </c>
      <c r="BQ14" s="560">
        <v>294608.16666666669</v>
      </c>
      <c r="BR14" s="560">
        <v>294608.16666666669</v>
      </c>
      <c r="BS14" s="561">
        <v>3535298</v>
      </c>
    </row>
    <row r="15" spans="1:71" s="565" customFormat="1">
      <c r="A15" s="562"/>
      <c r="B15" s="550" t="s">
        <v>330</v>
      </c>
      <c r="C15" s="563" t="s">
        <v>246</v>
      </c>
      <c r="D15" s="559">
        <v>0</v>
      </c>
      <c r="E15" s="564">
        <v>200.00000000000003</v>
      </c>
      <c r="F15" s="560">
        <v>0</v>
      </c>
      <c r="G15" s="560">
        <v>699.99999999999989</v>
      </c>
      <c r="H15" s="560">
        <v>0</v>
      </c>
      <c r="I15" s="560">
        <v>1272.45</v>
      </c>
      <c r="J15" s="560">
        <v>150</v>
      </c>
      <c r="K15" s="560">
        <v>0</v>
      </c>
      <c r="L15" s="560">
        <v>0</v>
      </c>
      <c r="M15" s="560">
        <v>0</v>
      </c>
      <c r="N15" s="560">
        <v>230</v>
      </c>
      <c r="O15" s="560">
        <v>0</v>
      </c>
      <c r="P15" s="560">
        <v>302.55000000000018</v>
      </c>
      <c r="Q15" s="561">
        <v>2855</v>
      </c>
      <c r="R15" s="559">
        <v>0</v>
      </c>
      <c r="S15" s="564">
        <v>136</v>
      </c>
      <c r="T15" s="560">
        <v>27</v>
      </c>
      <c r="U15" s="560">
        <v>1026</v>
      </c>
      <c r="V15" s="560">
        <v>259</v>
      </c>
      <c r="W15" s="560">
        <v>239</v>
      </c>
      <c r="X15" s="560">
        <v>185</v>
      </c>
      <c r="Y15" s="560">
        <v>132</v>
      </c>
      <c r="Z15" s="560">
        <v>68</v>
      </c>
      <c r="AA15" s="560">
        <v>138</v>
      </c>
      <c r="AB15" s="560">
        <v>136.36760399999991</v>
      </c>
      <c r="AC15" s="560">
        <v>1</v>
      </c>
      <c r="AD15" s="560">
        <v>633.63239600000009</v>
      </c>
      <c r="AE15" s="561">
        <v>2981</v>
      </c>
      <c r="AF15" s="559">
        <v>0</v>
      </c>
      <c r="AG15" s="560">
        <v>0</v>
      </c>
      <c r="AH15" s="560">
        <v>15</v>
      </c>
      <c r="AI15" s="560">
        <v>0</v>
      </c>
      <c r="AJ15" s="560">
        <v>0</v>
      </c>
      <c r="AK15" s="560">
        <v>0</v>
      </c>
      <c r="AL15" s="560">
        <v>0</v>
      </c>
      <c r="AM15" s="560">
        <v>5</v>
      </c>
      <c r="AN15" s="560">
        <v>0</v>
      </c>
      <c r="AO15" s="560">
        <v>0</v>
      </c>
      <c r="AP15" s="560">
        <v>178884.50710000002</v>
      </c>
      <c r="AQ15" s="560">
        <v>161788.03475599998</v>
      </c>
      <c r="AR15" s="560">
        <v>-337944.54185599997</v>
      </c>
      <c r="AS15" s="561">
        <v>2748</v>
      </c>
      <c r="AT15" s="559">
        <v>18</v>
      </c>
      <c r="AU15" s="560">
        <v>14</v>
      </c>
      <c r="AV15" s="560">
        <v>501</v>
      </c>
      <c r="AW15" s="560">
        <v>726</v>
      </c>
      <c r="AX15" s="560">
        <v>4</v>
      </c>
      <c r="AY15" s="560">
        <v>1.1600000000000006</v>
      </c>
      <c r="AZ15" s="560">
        <v>-210.69333333333336</v>
      </c>
      <c r="BA15" s="560">
        <v>-210.69333333333336</v>
      </c>
      <c r="BB15" s="560">
        <v>-210.69333333333336</v>
      </c>
      <c r="BC15" s="560">
        <v>-210.69333333333336</v>
      </c>
      <c r="BD15" s="560">
        <v>-210.69333333333336</v>
      </c>
      <c r="BE15" s="560">
        <v>-210.69333333333336</v>
      </c>
      <c r="BF15" s="561">
        <v>0</v>
      </c>
      <c r="BG15" s="559">
        <v>242.41666666666666</v>
      </c>
      <c r="BH15" s="560">
        <v>242.41666666666666</v>
      </c>
      <c r="BI15" s="560">
        <v>242.41666666666666</v>
      </c>
      <c r="BJ15" s="560">
        <v>242.41666666666666</v>
      </c>
      <c r="BK15" s="560">
        <v>242.41666666666666</v>
      </c>
      <c r="BL15" s="560">
        <v>242.41666666666666</v>
      </c>
      <c r="BM15" s="560">
        <v>242.41666666666666</v>
      </c>
      <c r="BN15" s="560">
        <v>242.41666666666666</v>
      </c>
      <c r="BO15" s="560">
        <v>242.41666666666666</v>
      </c>
      <c r="BP15" s="560">
        <v>242.41666666666666</v>
      </c>
      <c r="BQ15" s="560">
        <v>242.41666666666666</v>
      </c>
      <c r="BR15" s="560">
        <v>242.41666666666666</v>
      </c>
      <c r="BS15" s="561">
        <v>2909</v>
      </c>
    </row>
    <row r="16" spans="1:71" s="565" customFormat="1" ht="16.5" customHeight="1">
      <c r="A16" s="562"/>
      <c r="B16" s="550" t="s">
        <v>331</v>
      </c>
      <c r="C16" s="563" t="s">
        <v>332</v>
      </c>
      <c r="D16" s="559">
        <v>0</v>
      </c>
      <c r="E16" s="564">
        <v>0</v>
      </c>
      <c r="F16" s="560">
        <v>538.49999999999989</v>
      </c>
      <c r="G16" s="560">
        <v>0</v>
      </c>
      <c r="H16" s="560">
        <v>100.00000000000001</v>
      </c>
      <c r="I16" s="560">
        <v>122.42</v>
      </c>
      <c r="J16" s="560">
        <v>0</v>
      </c>
      <c r="K16" s="560">
        <v>0</v>
      </c>
      <c r="L16" s="560">
        <v>0</v>
      </c>
      <c r="M16" s="560">
        <v>369.99999999999994</v>
      </c>
      <c r="N16" s="560">
        <v>5.6843418860808015E-14</v>
      </c>
      <c r="O16" s="560">
        <v>0</v>
      </c>
      <c r="P16" s="560">
        <v>259.08000000000015</v>
      </c>
      <c r="Q16" s="561">
        <v>1390</v>
      </c>
      <c r="R16" s="559">
        <v>0</v>
      </c>
      <c r="S16" s="564">
        <v>0</v>
      </c>
      <c r="T16" s="560">
        <v>0</v>
      </c>
      <c r="U16" s="560">
        <v>1331</v>
      </c>
      <c r="V16" s="560">
        <v>100</v>
      </c>
      <c r="W16" s="560">
        <v>0</v>
      </c>
      <c r="X16" s="560">
        <v>0</v>
      </c>
      <c r="Y16" s="560">
        <v>0</v>
      </c>
      <c r="Z16" s="560">
        <v>0</v>
      </c>
      <c r="AA16" s="560">
        <v>0</v>
      </c>
      <c r="AB16" s="560">
        <v>0</v>
      </c>
      <c r="AC16" s="560">
        <v>0</v>
      </c>
      <c r="AD16" s="560">
        <v>440</v>
      </c>
      <c r="AE16" s="561">
        <v>1871</v>
      </c>
      <c r="AF16" s="559">
        <v>0</v>
      </c>
      <c r="AG16" s="560">
        <v>0</v>
      </c>
      <c r="AH16" s="560">
        <v>0</v>
      </c>
      <c r="AI16" s="560">
        <v>0</v>
      </c>
      <c r="AJ16" s="560">
        <v>0</v>
      </c>
      <c r="AK16" s="560">
        <v>0</v>
      </c>
      <c r="AL16" s="560">
        <v>0</v>
      </c>
      <c r="AM16" s="560">
        <v>0</v>
      </c>
      <c r="AN16" s="560">
        <v>0</v>
      </c>
      <c r="AO16" s="560">
        <v>0</v>
      </c>
      <c r="AP16" s="560">
        <v>6.7500000000000027</v>
      </c>
      <c r="AQ16" s="560">
        <v>0</v>
      </c>
      <c r="AR16" s="560">
        <v>993.25</v>
      </c>
      <c r="AS16" s="561">
        <v>1000</v>
      </c>
      <c r="AT16" s="559">
        <v>0</v>
      </c>
      <c r="AU16" s="560">
        <v>0</v>
      </c>
      <c r="AV16" s="560">
        <v>0</v>
      </c>
      <c r="AW16" s="560">
        <v>606</v>
      </c>
      <c r="AX16" s="560">
        <v>0</v>
      </c>
      <c r="AY16" s="560">
        <v>0</v>
      </c>
      <c r="AZ16" s="560">
        <v>-101</v>
      </c>
      <c r="BA16" s="560">
        <v>-101</v>
      </c>
      <c r="BB16" s="560">
        <v>-101</v>
      </c>
      <c r="BC16" s="560">
        <v>-101</v>
      </c>
      <c r="BD16" s="560">
        <v>-101</v>
      </c>
      <c r="BE16" s="560">
        <v>-101</v>
      </c>
      <c r="BF16" s="561">
        <v>0</v>
      </c>
      <c r="BG16" s="559">
        <v>135.25</v>
      </c>
      <c r="BH16" s="560">
        <v>135.25</v>
      </c>
      <c r="BI16" s="560">
        <v>135.25</v>
      </c>
      <c r="BJ16" s="560">
        <v>135.25</v>
      </c>
      <c r="BK16" s="560">
        <v>135.25</v>
      </c>
      <c r="BL16" s="560">
        <v>135.25</v>
      </c>
      <c r="BM16" s="560">
        <v>135.25</v>
      </c>
      <c r="BN16" s="560">
        <v>135.25</v>
      </c>
      <c r="BO16" s="560">
        <v>135.25</v>
      </c>
      <c r="BP16" s="560">
        <v>135.25</v>
      </c>
      <c r="BQ16" s="560">
        <v>135.25</v>
      </c>
      <c r="BR16" s="560">
        <v>135.25</v>
      </c>
      <c r="BS16" s="561">
        <v>1623</v>
      </c>
    </row>
    <row r="17" spans="1:71" s="565" customFormat="1">
      <c r="A17" s="562"/>
      <c r="B17" s="550" t="s">
        <v>333</v>
      </c>
      <c r="C17" s="563" t="s">
        <v>247</v>
      </c>
      <c r="D17" s="559">
        <v>142576.75999999995</v>
      </c>
      <c r="E17" s="564">
        <v>81960.900000000023</v>
      </c>
      <c r="F17" s="560">
        <v>141793.62000000002</v>
      </c>
      <c r="G17" s="560">
        <v>138746.38</v>
      </c>
      <c r="H17" s="560">
        <v>108734.86</v>
      </c>
      <c r="I17" s="560">
        <v>207241.4199999999</v>
      </c>
      <c r="J17" s="560">
        <v>120957.52000000002</v>
      </c>
      <c r="K17" s="560">
        <v>175751.86999999985</v>
      </c>
      <c r="L17" s="560">
        <v>3910128.1999999993</v>
      </c>
      <c r="M17" s="560">
        <v>121416.75</v>
      </c>
      <c r="N17" s="560">
        <v>1399849.1199999996</v>
      </c>
      <c r="O17" s="560">
        <v>1432081.969999999</v>
      </c>
      <c r="P17" s="560">
        <v>-7789455.3699999973</v>
      </c>
      <c r="Q17" s="561">
        <v>191784</v>
      </c>
      <c r="R17" s="559">
        <v>640333</v>
      </c>
      <c r="S17" s="564">
        <v>81593</v>
      </c>
      <c r="T17" s="560">
        <v>-413055</v>
      </c>
      <c r="U17" s="560">
        <v>91720</v>
      </c>
      <c r="V17" s="560">
        <v>117163</v>
      </c>
      <c r="W17" s="560">
        <v>3235345</v>
      </c>
      <c r="X17" s="560">
        <v>762941</v>
      </c>
      <c r="Y17" s="560">
        <v>829250</v>
      </c>
      <c r="Z17" s="560">
        <v>193503</v>
      </c>
      <c r="AA17" s="560">
        <v>1401900</v>
      </c>
      <c r="AB17" s="560">
        <v>793325.70095000102</v>
      </c>
      <c r="AC17" s="560">
        <v>724518</v>
      </c>
      <c r="AD17" s="560">
        <v>-1814923.7009500009</v>
      </c>
      <c r="AE17" s="561">
        <v>6643613</v>
      </c>
      <c r="AF17" s="559">
        <v>178875</v>
      </c>
      <c r="AG17" s="560">
        <v>129783</v>
      </c>
      <c r="AH17" s="560">
        <v>132493</v>
      </c>
      <c r="AI17" s="560">
        <v>112021</v>
      </c>
      <c r="AJ17" s="560">
        <v>92628</v>
      </c>
      <c r="AK17" s="560">
        <v>168955</v>
      </c>
      <c r="AL17" s="560">
        <v>24028.705719999998</v>
      </c>
      <c r="AM17" s="560">
        <v>152548</v>
      </c>
      <c r="AN17" s="560">
        <v>5493009</v>
      </c>
      <c r="AO17" s="560">
        <v>726019</v>
      </c>
      <c r="AP17" s="560">
        <v>175784</v>
      </c>
      <c r="AQ17" s="560">
        <v>134664.391928</v>
      </c>
      <c r="AR17" s="560">
        <v>2045924.9023520001</v>
      </c>
      <c r="AS17" s="561">
        <v>9566733</v>
      </c>
      <c r="AT17" s="559">
        <v>81727</v>
      </c>
      <c r="AU17" s="560">
        <v>306094</v>
      </c>
      <c r="AV17" s="560">
        <v>73609</v>
      </c>
      <c r="AW17" s="560">
        <v>138071</v>
      </c>
      <c r="AX17" s="560">
        <v>198032</v>
      </c>
      <c r="AY17" s="560">
        <v>97448.740640000004</v>
      </c>
      <c r="AZ17" s="560">
        <v>2242328.7098933333</v>
      </c>
      <c r="BA17" s="560">
        <v>2242328.7098933333</v>
      </c>
      <c r="BB17" s="560">
        <v>2242328.7098933333</v>
      </c>
      <c r="BC17" s="560">
        <v>2242328.7098933333</v>
      </c>
      <c r="BD17" s="560">
        <v>2242328.7098933333</v>
      </c>
      <c r="BE17" s="560">
        <v>2242328.7098933333</v>
      </c>
      <c r="BF17" s="561">
        <v>14348954</v>
      </c>
      <c r="BG17" s="559">
        <v>676093.75</v>
      </c>
      <c r="BH17" s="560">
        <v>676093.75</v>
      </c>
      <c r="BI17" s="560">
        <v>676093.75</v>
      </c>
      <c r="BJ17" s="560">
        <v>676093.75</v>
      </c>
      <c r="BK17" s="560">
        <v>676093.75</v>
      </c>
      <c r="BL17" s="560">
        <v>676093.75</v>
      </c>
      <c r="BM17" s="560">
        <v>676093.75</v>
      </c>
      <c r="BN17" s="560">
        <v>676093.75</v>
      </c>
      <c r="BO17" s="560">
        <v>676093.75</v>
      </c>
      <c r="BP17" s="560">
        <v>676093.75</v>
      </c>
      <c r="BQ17" s="560">
        <v>676093.75</v>
      </c>
      <c r="BR17" s="560">
        <v>676093.75</v>
      </c>
      <c r="BS17" s="561">
        <v>8113125</v>
      </c>
    </row>
    <row r="18" spans="1:71">
      <c r="A18" s="556"/>
      <c r="B18" s="557" t="s">
        <v>334</v>
      </c>
      <c r="C18" s="558" t="s">
        <v>248</v>
      </c>
      <c r="D18" s="559">
        <v>0</v>
      </c>
      <c r="E18" s="560">
        <v>760.99</v>
      </c>
      <c r="F18" s="560">
        <v>0</v>
      </c>
      <c r="G18" s="560">
        <v>337.99</v>
      </c>
      <c r="H18" s="560">
        <v>21.769999999999996</v>
      </c>
      <c r="I18" s="560">
        <v>32.94</v>
      </c>
      <c r="J18" s="560">
        <v>385.43</v>
      </c>
      <c r="K18" s="560">
        <v>289.61000000000007</v>
      </c>
      <c r="L18" s="560">
        <v>2118.63</v>
      </c>
      <c r="M18" s="560">
        <v>1354.02</v>
      </c>
      <c r="N18" s="560">
        <v>86.009999999999991</v>
      </c>
      <c r="O18" s="560">
        <v>1435.85</v>
      </c>
      <c r="P18" s="560">
        <v>-2258</v>
      </c>
      <c r="Q18" s="561">
        <v>4565</v>
      </c>
      <c r="R18" s="559">
        <v>0</v>
      </c>
      <c r="S18" s="560">
        <v>0</v>
      </c>
      <c r="T18" s="560">
        <v>0</v>
      </c>
      <c r="U18" s="560">
        <v>0</v>
      </c>
      <c r="V18" s="560">
        <v>0</v>
      </c>
      <c r="W18" s="560">
        <v>0</v>
      </c>
      <c r="X18" s="560">
        <v>0</v>
      </c>
      <c r="Y18" s="560">
        <v>0</v>
      </c>
      <c r="Z18" s="560">
        <v>0</v>
      </c>
      <c r="AA18" s="560">
        <v>0</v>
      </c>
      <c r="AB18" s="560">
        <v>0</v>
      </c>
      <c r="AC18" s="560">
        <v>0</v>
      </c>
      <c r="AD18" s="560">
        <v>0</v>
      </c>
      <c r="AE18" s="561">
        <v>0</v>
      </c>
      <c r="AF18" s="559">
        <v>0</v>
      </c>
      <c r="AG18" s="560">
        <v>0</v>
      </c>
      <c r="AH18" s="560">
        <v>0</v>
      </c>
      <c r="AI18" s="560">
        <v>0</v>
      </c>
      <c r="AJ18" s="560">
        <v>0</v>
      </c>
      <c r="AK18" s="560">
        <v>0</v>
      </c>
      <c r="AL18" s="560">
        <v>0</v>
      </c>
      <c r="AM18" s="560">
        <v>0</v>
      </c>
      <c r="AN18" s="560">
        <v>0</v>
      </c>
      <c r="AO18" s="560">
        <v>0</v>
      </c>
      <c r="AP18" s="560">
        <v>0</v>
      </c>
      <c r="AQ18" s="560">
        <v>0</v>
      </c>
      <c r="AR18" s="560">
        <v>5941</v>
      </c>
      <c r="AS18" s="561">
        <v>5941</v>
      </c>
      <c r="AT18" s="559">
        <v>0</v>
      </c>
      <c r="AU18" s="560">
        <v>0</v>
      </c>
      <c r="AV18" s="560">
        <v>0</v>
      </c>
      <c r="AW18" s="560">
        <v>0</v>
      </c>
      <c r="AX18" s="560">
        <v>0</v>
      </c>
      <c r="AY18" s="560">
        <v>0</v>
      </c>
      <c r="AZ18" s="560">
        <v>0</v>
      </c>
      <c r="BA18" s="560">
        <v>0</v>
      </c>
      <c r="BB18" s="560">
        <v>0</v>
      </c>
      <c r="BC18" s="560">
        <v>0</v>
      </c>
      <c r="BD18" s="560">
        <v>0</v>
      </c>
      <c r="BE18" s="560">
        <v>0</v>
      </c>
      <c r="BF18" s="561"/>
      <c r="BG18" s="559">
        <v>0</v>
      </c>
      <c r="BH18" s="560">
        <v>0</v>
      </c>
      <c r="BI18" s="560">
        <v>0</v>
      </c>
      <c r="BJ18" s="560">
        <v>0</v>
      </c>
      <c r="BK18" s="560">
        <v>0</v>
      </c>
      <c r="BL18" s="560">
        <v>0</v>
      </c>
      <c r="BM18" s="560">
        <v>0</v>
      </c>
      <c r="BN18" s="560">
        <v>0</v>
      </c>
      <c r="BO18" s="560">
        <v>0</v>
      </c>
      <c r="BP18" s="560">
        <v>0</v>
      </c>
      <c r="BQ18" s="560">
        <v>0</v>
      </c>
      <c r="BR18" s="560">
        <v>0</v>
      </c>
      <c r="BS18" s="561">
        <v>0</v>
      </c>
    </row>
    <row r="19" spans="1:71">
      <c r="A19" s="556"/>
      <c r="B19" s="557" t="s">
        <v>335</v>
      </c>
      <c r="C19" s="558" t="s">
        <v>336</v>
      </c>
      <c r="D19" s="559"/>
      <c r="E19" s="560"/>
      <c r="F19" s="560"/>
      <c r="G19" s="560"/>
      <c r="H19" s="560"/>
      <c r="I19" s="560"/>
      <c r="J19" s="560"/>
      <c r="K19" s="560"/>
      <c r="L19" s="560"/>
      <c r="M19" s="560"/>
      <c r="N19" s="560"/>
      <c r="O19" s="560"/>
      <c r="P19" s="560">
        <v>0</v>
      </c>
      <c r="Q19" s="561">
        <v>0</v>
      </c>
      <c r="R19" s="559">
        <v>0</v>
      </c>
      <c r="S19" s="560">
        <v>0</v>
      </c>
      <c r="T19" s="560">
        <v>0</v>
      </c>
      <c r="U19" s="560">
        <v>0</v>
      </c>
      <c r="V19" s="560">
        <v>0</v>
      </c>
      <c r="W19" s="560">
        <v>0</v>
      </c>
      <c r="X19" s="560">
        <v>0</v>
      </c>
      <c r="Y19" s="560">
        <v>0</v>
      </c>
      <c r="Z19" s="560">
        <v>0</v>
      </c>
      <c r="AA19" s="560">
        <v>0</v>
      </c>
      <c r="AB19" s="560">
        <v>0</v>
      </c>
      <c r="AC19" s="560">
        <v>0</v>
      </c>
      <c r="AD19" s="560">
        <v>0</v>
      </c>
      <c r="AE19" s="561">
        <v>0</v>
      </c>
      <c r="AF19" s="559">
        <v>0</v>
      </c>
      <c r="AG19" s="560">
        <v>0</v>
      </c>
      <c r="AH19" s="560">
        <v>0</v>
      </c>
      <c r="AI19" s="560">
        <v>0</v>
      </c>
      <c r="AJ19" s="560">
        <v>0</v>
      </c>
      <c r="AK19" s="560">
        <v>0</v>
      </c>
      <c r="AL19" s="560">
        <v>0</v>
      </c>
      <c r="AM19" s="560">
        <v>0</v>
      </c>
      <c r="AN19" s="560">
        <v>0</v>
      </c>
      <c r="AO19" s="560">
        <v>0</v>
      </c>
      <c r="AP19" s="560">
        <v>0</v>
      </c>
      <c r="AQ19" s="560">
        <v>0</v>
      </c>
      <c r="AR19" s="560">
        <v>1</v>
      </c>
      <c r="AS19" s="561">
        <v>0</v>
      </c>
      <c r="AT19" s="559">
        <v>0</v>
      </c>
      <c r="AU19" s="560">
        <v>0</v>
      </c>
      <c r="AV19" s="560">
        <v>0</v>
      </c>
      <c r="AW19" s="560">
        <v>0</v>
      </c>
      <c r="AX19" s="560">
        <v>0</v>
      </c>
      <c r="AY19" s="560">
        <v>0</v>
      </c>
      <c r="AZ19" s="560">
        <v>0</v>
      </c>
      <c r="BA19" s="560">
        <v>0</v>
      </c>
      <c r="BB19" s="560">
        <v>0</v>
      </c>
      <c r="BC19" s="560">
        <v>0</v>
      </c>
      <c r="BD19" s="560">
        <v>0</v>
      </c>
      <c r="BE19" s="560">
        <v>0</v>
      </c>
      <c r="BF19" s="561">
        <v>0</v>
      </c>
      <c r="BG19" s="559">
        <v>0</v>
      </c>
      <c r="BH19" s="560">
        <v>0</v>
      </c>
      <c r="BI19" s="560">
        <v>0</v>
      </c>
      <c r="BJ19" s="560">
        <v>0</v>
      </c>
      <c r="BK19" s="560">
        <v>0</v>
      </c>
      <c r="BL19" s="560">
        <v>0</v>
      </c>
      <c r="BM19" s="560">
        <v>0</v>
      </c>
      <c r="BN19" s="560">
        <v>0</v>
      </c>
      <c r="BO19" s="560">
        <v>0</v>
      </c>
      <c r="BP19" s="560">
        <v>0</v>
      </c>
      <c r="BQ19" s="560">
        <v>0</v>
      </c>
      <c r="BR19" s="560">
        <v>0</v>
      </c>
      <c r="BS19" s="561">
        <v>0</v>
      </c>
    </row>
    <row r="20" spans="1:71">
      <c r="A20" s="556"/>
      <c r="B20" s="557" t="s">
        <v>337</v>
      </c>
      <c r="C20" s="558" t="s">
        <v>250</v>
      </c>
      <c r="D20" s="559"/>
      <c r="E20" s="560"/>
      <c r="F20" s="560"/>
      <c r="G20" s="560"/>
      <c r="H20" s="560"/>
      <c r="I20" s="560"/>
      <c r="J20" s="560"/>
      <c r="K20" s="560"/>
      <c r="L20" s="560"/>
      <c r="M20" s="560"/>
      <c r="N20" s="560"/>
      <c r="O20" s="560"/>
      <c r="P20" s="560">
        <v>0</v>
      </c>
      <c r="Q20" s="561">
        <v>0</v>
      </c>
      <c r="R20" s="559">
        <v>0</v>
      </c>
      <c r="S20" s="560">
        <v>0</v>
      </c>
      <c r="T20" s="560">
        <v>0</v>
      </c>
      <c r="U20" s="560">
        <v>0</v>
      </c>
      <c r="V20" s="560">
        <v>0</v>
      </c>
      <c r="W20" s="560">
        <v>0</v>
      </c>
      <c r="X20" s="560">
        <v>0</v>
      </c>
      <c r="Y20" s="560">
        <v>0</v>
      </c>
      <c r="Z20" s="560">
        <v>0</v>
      </c>
      <c r="AA20" s="560">
        <v>0</v>
      </c>
      <c r="AB20" s="560">
        <v>0</v>
      </c>
      <c r="AC20" s="560">
        <v>0</v>
      </c>
      <c r="AD20" s="560">
        <v>0</v>
      </c>
      <c r="AE20" s="561">
        <v>0</v>
      </c>
      <c r="AF20" s="559">
        <v>0</v>
      </c>
      <c r="AG20" s="560">
        <v>0</v>
      </c>
      <c r="AH20" s="560">
        <v>0</v>
      </c>
      <c r="AI20" s="560">
        <v>0</v>
      </c>
      <c r="AJ20" s="560">
        <v>0</v>
      </c>
      <c r="AK20" s="560">
        <v>0</v>
      </c>
      <c r="AL20" s="560">
        <v>0</v>
      </c>
      <c r="AM20" s="560">
        <v>0</v>
      </c>
      <c r="AN20" s="560">
        <v>0</v>
      </c>
      <c r="AO20" s="560">
        <v>0</v>
      </c>
      <c r="AP20" s="560">
        <v>0</v>
      </c>
      <c r="AQ20" s="560">
        <v>0</v>
      </c>
      <c r="AR20" s="560">
        <v>0</v>
      </c>
      <c r="AS20" s="561">
        <v>0</v>
      </c>
      <c r="AT20" s="559">
        <v>0</v>
      </c>
      <c r="AU20" s="560">
        <v>0</v>
      </c>
      <c r="AV20" s="560">
        <v>0</v>
      </c>
      <c r="AW20" s="560">
        <v>0</v>
      </c>
      <c r="AX20" s="560">
        <v>0</v>
      </c>
      <c r="AY20" s="560">
        <v>0</v>
      </c>
      <c r="AZ20" s="560">
        <v>0</v>
      </c>
      <c r="BA20" s="560">
        <v>0</v>
      </c>
      <c r="BB20" s="560">
        <v>0</v>
      </c>
      <c r="BC20" s="560">
        <v>0</v>
      </c>
      <c r="BD20" s="560">
        <v>0</v>
      </c>
      <c r="BE20" s="560">
        <v>0</v>
      </c>
      <c r="BF20" s="561">
        <v>0</v>
      </c>
      <c r="BG20" s="559">
        <v>0</v>
      </c>
      <c r="BH20" s="560">
        <v>0</v>
      </c>
      <c r="BI20" s="560">
        <v>0</v>
      </c>
      <c r="BJ20" s="560">
        <v>0</v>
      </c>
      <c r="BK20" s="560">
        <v>0</v>
      </c>
      <c r="BL20" s="560">
        <v>0</v>
      </c>
      <c r="BM20" s="560">
        <v>0</v>
      </c>
      <c r="BN20" s="560">
        <v>0</v>
      </c>
      <c r="BO20" s="560">
        <v>0</v>
      </c>
      <c r="BP20" s="560">
        <v>0</v>
      </c>
      <c r="BQ20" s="560">
        <v>0</v>
      </c>
      <c r="BR20" s="560">
        <v>0</v>
      </c>
      <c r="BS20" s="561">
        <v>0</v>
      </c>
    </row>
    <row r="21" spans="1:71" s="541" customFormat="1" ht="16.8" thickBot="1">
      <c r="A21" s="566"/>
      <c r="B21" s="567" t="s">
        <v>152</v>
      </c>
      <c r="C21" s="568"/>
      <c r="D21" s="569">
        <v>2738421.32</v>
      </c>
      <c r="E21" s="570">
        <v>3012119.74</v>
      </c>
      <c r="F21" s="570">
        <v>3195263.36</v>
      </c>
      <c r="G21" s="570">
        <v>3096996.9700000007</v>
      </c>
      <c r="H21" s="570">
        <v>3104629.8799999994</v>
      </c>
      <c r="I21" s="570">
        <v>3264203.39</v>
      </c>
      <c r="J21" s="570">
        <v>3130960.7699999996</v>
      </c>
      <c r="K21" s="570">
        <v>3136293.9799999995</v>
      </c>
      <c r="L21" s="570">
        <v>7008479.7699999996</v>
      </c>
      <c r="M21" s="570">
        <v>3166577.5100000007</v>
      </c>
      <c r="N21" s="570">
        <v>4521472.1099999994</v>
      </c>
      <c r="O21" s="570">
        <v>4556751.4999999991</v>
      </c>
      <c r="P21" s="570">
        <v>1571547.9399999995</v>
      </c>
      <c r="Q21" s="570">
        <v>45503718</v>
      </c>
      <c r="R21" s="569">
        <v>3827123.8099999996</v>
      </c>
      <c r="S21" s="570">
        <v>3699961</v>
      </c>
      <c r="T21" s="570">
        <v>3301283</v>
      </c>
      <c r="U21" s="570">
        <v>3913263</v>
      </c>
      <c r="V21" s="570">
        <v>3943826</v>
      </c>
      <c r="W21" s="570">
        <v>6957616</v>
      </c>
      <c r="X21" s="570">
        <v>4583645</v>
      </c>
      <c r="Y21" s="570">
        <v>4969046</v>
      </c>
      <c r="Z21" s="570">
        <v>3778234.6408539996</v>
      </c>
      <c r="AA21" s="570">
        <v>4983541</v>
      </c>
      <c r="AB21" s="570">
        <v>4466509.8312060004</v>
      </c>
      <c r="AC21" s="570">
        <v>4532868</v>
      </c>
      <c r="AD21" s="570">
        <v>1292198.7179399962</v>
      </c>
      <c r="AE21" s="570">
        <v>54249116</v>
      </c>
      <c r="AF21" s="614">
        <v>3719615</v>
      </c>
      <c r="AG21" s="615">
        <v>3771419</v>
      </c>
      <c r="AH21" s="615">
        <v>3726770</v>
      </c>
      <c r="AI21" s="615">
        <v>4027263</v>
      </c>
      <c r="AJ21" s="615">
        <v>3675367</v>
      </c>
      <c r="AK21" s="615">
        <v>3863577</v>
      </c>
      <c r="AL21" s="615">
        <v>3739897.3370119999</v>
      </c>
      <c r="AM21" s="615">
        <v>3805918</v>
      </c>
      <c r="AN21" s="615">
        <v>9138254</v>
      </c>
      <c r="AO21" s="615">
        <v>5119634</v>
      </c>
      <c r="AP21" s="615">
        <v>4086905.9383000042</v>
      </c>
      <c r="AQ21" s="615">
        <v>3892955.1534039984</v>
      </c>
      <c r="AR21" s="570">
        <v>4482234.571283998</v>
      </c>
      <c r="AS21" s="570">
        <v>57049809</v>
      </c>
      <c r="AT21" s="614">
        <v>3513769</v>
      </c>
      <c r="AU21" s="615">
        <v>3824956</v>
      </c>
      <c r="AV21" s="615">
        <v>3958986</v>
      </c>
      <c r="AW21" s="615">
        <v>3969109</v>
      </c>
      <c r="AX21" s="615">
        <v>3877048</v>
      </c>
      <c r="AY21" s="615">
        <v>4039472.4288160005</v>
      </c>
      <c r="AZ21" s="615">
        <v>6318498.428530667</v>
      </c>
      <c r="BA21" s="615">
        <v>6318498.428530667</v>
      </c>
      <c r="BB21" s="615">
        <v>6318498.428530667</v>
      </c>
      <c r="BC21" s="615">
        <v>6318498.428530667</v>
      </c>
      <c r="BD21" s="615">
        <v>6318498.428530667</v>
      </c>
      <c r="BE21" s="615">
        <v>6318498.428530667</v>
      </c>
      <c r="BF21" s="570">
        <v>61094325</v>
      </c>
      <c r="BG21" s="614">
        <v>4677216.666666667</v>
      </c>
      <c r="BH21" s="615">
        <v>4677216.666666667</v>
      </c>
      <c r="BI21" s="615">
        <v>4677216.666666667</v>
      </c>
      <c r="BJ21" s="615">
        <v>4677216.666666667</v>
      </c>
      <c r="BK21" s="615">
        <v>4677216.666666667</v>
      </c>
      <c r="BL21" s="615">
        <v>4677216.666666667</v>
      </c>
      <c r="BM21" s="615">
        <v>4677216.666666667</v>
      </c>
      <c r="BN21" s="615">
        <v>4677216.666666667</v>
      </c>
      <c r="BO21" s="615">
        <v>4677216.666666667</v>
      </c>
      <c r="BP21" s="615">
        <v>4677216.666666667</v>
      </c>
      <c r="BQ21" s="615">
        <v>4677216.666666667</v>
      </c>
      <c r="BR21" s="615">
        <v>4677216.666666667</v>
      </c>
      <c r="BS21" s="570">
        <v>56126600</v>
      </c>
    </row>
    <row r="22" spans="1:71" s="550" customFormat="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row>
    <row r="23" spans="1:71" s="550" customFormat="1" ht="16.8" thickBot="1">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row>
    <row r="24" spans="1:71" s="541" customFormat="1" ht="16.8" thickBot="1">
      <c r="D24" s="547" t="s">
        <v>307</v>
      </c>
      <c r="E24" s="573"/>
      <c r="F24" s="573"/>
      <c r="G24" s="573"/>
      <c r="H24" s="573"/>
      <c r="I24" s="573"/>
      <c r="J24" s="548"/>
      <c r="K24" s="573"/>
      <c r="L24" s="573"/>
      <c r="M24" s="573"/>
      <c r="N24" s="573"/>
      <c r="O24" s="573"/>
      <c r="P24" s="573"/>
      <c r="Q24" s="574"/>
      <c r="R24" s="547" t="s">
        <v>385</v>
      </c>
      <c r="S24" s="573"/>
      <c r="T24" s="573"/>
      <c r="U24" s="573"/>
      <c r="V24" s="573"/>
      <c r="W24" s="573"/>
      <c r="X24" s="548"/>
      <c r="Y24" s="573"/>
      <c r="Z24" s="573"/>
      <c r="AA24" s="573"/>
      <c r="AB24" s="573"/>
      <c r="AC24" s="573"/>
      <c r="AD24" s="573"/>
      <c r="AE24" s="574"/>
      <c r="AF24" s="547" t="s">
        <v>390</v>
      </c>
      <c r="AG24" s="573"/>
      <c r="AH24" s="573"/>
      <c r="AI24" s="573"/>
      <c r="AJ24" s="573"/>
      <c r="AK24" s="573"/>
      <c r="AL24" s="548"/>
      <c r="AM24" s="573"/>
      <c r="AN24" s="573"/>
      <c r="AO24" s="573"/>
      <c r="AP24" s="573"/>
      <c r="AQ24" s="573"/>
      <c r="AR24" s="573"/>
      <c r="AS24" s="574"/>
      <c r="AT24" s="547" t="s">
        <v>559</v>
      </c>
      <c r="AU24" s="573"/>
      <c r="AV24" s="573"/>
      <c r="AW24" s="573"/>
      <c r="AX24" s="573"/>
      <c r="AY24" s="573"/>
      <c r="AZ24" s="548"/>
      <c r="BA24" s="573"/>
      <c r="BB24" s="573"/>
      <c r="BC24" s="573"/>
      <c r="BD24" s="573"/>
      <c r="BE24" s="573"/>
      <c r="BF24" s="574"/>
      <c r="BG24" s="547" t="s">
        <v>560</v>
      </c>
      <c r="BH24" s="573"/>
      <c r="BI24" s="573"/>
      <c r="BJ24" s="573"/>
      <c r="BK24" s="573"/>
      <c r="BL24" s="573"/>
      <c r="BM24" s="548"/>
      <c r="BN24" s="573"/>
      <c r="BO24" s="573"/>
      <c r="BP24" s="573"/>
      <c r="BQ24" s="573"/>
      <c r="BR24" s="573"/>
      <c r="BS24" s="574"/>
    </row>
    <row r="25" spans="1:71" s="541" customFormat="1">
      <c r="A25" s="575" t="s">
        <v>338</v>
      </c>
      <c r="B25" s="551" t="s">
        <v>51</v>
      </c>
      <c r="C25" s="552" t="s">
        <v>309</v>
      </c>
      <c r="D25" s="576" t="s">
        <v>310</v>
      </c>
      <c r="E25" s="577" t="s">
        <v>311</v>
      </c>
      <c r="F25" s="577" t="s">
        <v>312</v>
      </c>
      <c r="G25" s="577" t="s">
        <v>313</v>
      </c>
      <c r="H25" s="577" t="s">
        <v>314</v>
      </c>
      <c r="I25" s="577" t="s">
        <v>315</v>
      </c>
      <c r="J25" s="577" t="s">
        <v>316</v>
      </c>
      <c r="K25" s="577" t="s">
        <v>317</v>
      </c>
      <c r="L25" s="577" t="s">
        <v>318</v>
      </c>
      <c r="M25" s="577" t="s">
        <v>319</v>
      </c>
      <c r="N25" s="577" t="s">
        <v>320</v>
      </c>
      <c r="O25" s="577" t="s">
        <v>321</v>
      </c>
      <c r="P25" s="577" t="s">
        <v>373</v>
      </c>
      <c r="Q25" s="555" t="s">
        <v>322</v>
      </c>
      <c r="R25" s="576" t="s">
        <v>310</v>
      </c>
      <c r="S25" s="577" t="s">
        <v>311</v>
      </c>
      <c r="T25" s="577" t="s">
        <v>312</v>
      </c>
      <c r="U25" s="577" t="s">
        <v>313</v>
      </c>
      <c r="V25" s="577" t="s">
        <v>314</v>
      </c>
      <c r="W25" s="577" t="s">
        <v>315</v>
      </c>
      <c r="X25" s="577" t="s">
        <v>316</v>
      </c>
      <c r="Y25" s="577" t="s">
        <v>317</v>
      </c>
      <c r="Z25" s="577" t="s">
        <v>318</v>
      </c>
      <c r="AA25" s="577" t="s">
        <v>319</v>
      </c>
      <c r="AB25" s="577" t="s">
        <v>320</v>
      </c>
      <c r="AC25" s="577" t="s">
        <v>321</v>
      </c>
      <c r="AD25" s="577" t="s">
        <v>456</v>
      </c>
      <c r="AE25" s="555" t="s">
        <v>384</v>
      </c>
      <c r="AF25" s="576" t="s">
        <v>310</v>
      </c>
      <c r="AG25" s="577" t="s">
        <v>311</v>
      </c>
      <c r="AH25" s="577" t="s">
        <v>312</v>
      </c>
      <c r="AI25" s="577" t="s">
        <v>313</v>
      </c>
      <c r="AJ25" s="577" t="s">
        <v>314</v>
      </c>
      <c r="AK25" s="577" t="s">
        <v>315</v>
      </c>
      <c r="AL25" s="577" t="s">
        <v>316</v>
      </c>
      <c r="AM25" s="577" t="s">
        <v>317</v>
      </c>
      <c r="AN25" s="577" t="s">
        <v>318</v>
      </c>
      <c r="AO25" s="577" t="s">
        <v>319</v>
      </c>
      <c r="AP25" s="577" t="s">
        <v>320</v>
      </c>
      <c r="AQ25" s="577" t="s">
        <v>321</v>
      </c>
      <c r="AR25" s="577" t="s">
        <v>493</v>
      </c>
      <c r="AS25" s="555" t="s">
        <v>391</v>
      </c>
      <c r="AT25" s="576" t="s">
        <v>310</v>
      </c>
      <c r="AU25" s="577" t="s">
        <v>311</v>
      </c>
      <c r="AV25" s="577" t="s">
        <v>312</v>
      </c>
      <c r="AW25" s="577" t="s">
        <v>313</v>
      </c>
      <c r="AX25" s="577" t="s">
        <v>314</v>
      </c>
      <c r="AY25" s="577" t="s">
        <v>315</v>
      </c>
      <c r="AZ25" s="577" t="s">
        <v>316</v>
      </c>
      <c r="BA25" s="577" t="s">
        <v>317</v>
      </c>
      <c r="BB25" s="577" t="s">
        <v>318</v>
      </c>
      <c r="BC25" s="577" t="s">
        <v>319</v>
      </c>
      <c r="BD25" s="577" t="s">
        <v>320</v>
      </c>
      <c r="BE25" s="577" t="s">
        <v>321</v>
      </c>
      <c r="BF25" s="555" t="s">
        <v>561</v>
      </c>
      <c r="BG25" s="576" t="s">
        <v>310</v>
      </c>
      <c r="BH25" s="577" t="s">
        <v>311</v>
      </c>
      <c r="BI25" s="577" t="s">
        <v>312</v>
      </c>
      <c r="BJ25" s="577" t="s">
        <v>313</v>
      </c>
      <c r="BK25" s="577" t="s">
        <v>314</v>
      </c>
      <c r="BL25" s="577" t="s">
        <v>315</v>
      </c>
      <c r="BM25" s="577" t="s">
        <v>316</v>
      </c>
      <c r="BN25" s="577" t="s">
        <v>317</v>
      </c>
      <c r="BO25" s="577" t="s">
        <v>318</v>
      </c>
      <c r="BP25" s="577" t="s">
        <v>319</v>
      </c>
      <c r="BQ25" s="577" t="s">
        <v>320</v>
      </c>
      <c r="BR25" s="577" t="s">
        <v>321</v>
      </c>
      <c r="BS25" s="555" t="s">
        <v>562</v>
      </c>
    </row>
    <row r="26" spans="1:71" ht="15" customHeight="1">
      <c r="A26" s="556" t="s">
        <v>4</v>
      </c>
      <c r="B26" s="550" t="s">
        <v>53</v>
      </c>
      <c r="C26" s="558" t="s">
        <v>52</v>
      </c>
      <c r="D26" s="559">
        <v>2550278.2199999993</v>
      </c>
      <c r="E26" s="560">
        <v>186813.43999999997</v>
      </c>
      <c r="F26" s="560">
        <v>169161.03</v>
      </c>
      <c r="G26" s="560">
        <v>161250.69</v>
      </c>
      <c r="H26" s="560">
        <v>133538.00999999998</v>
      </c>
      <c r="I26" s="560">
        <v>222450.41999999998</v>
      </c>
      <c r="J26" s="560">
        <v>136098.25</v>
      </c>
      <c r="K26" s="560">
        <v>186096.02999999988</v>
      </c>
      <c r="L26" s="560">
        <v>6482479.3700000029</v>
      </c>
      <c r="M26" s="560">
        <v>2950514.2600000002</v>
      </c>
      <c r="N26" s="560">
        <v>4422970.5199999996</v>
      </c>
      <c r="O26" s="560">
        <v>4244092.3399999989</v>
      </c>
      <c r="P26" s="578">
        <v>7216875.4199999981</v>
      </c>
      <c r="Q26" s="579">
        <v>29062618</v>
      </c>
      <c r="R26" s="559">
        <v>3613382.95</v>
      </c>
      <c r="S26" s="560">
        <v>247703</v>
      </c>
      <c r="T26" s="560">
        <v>-312268</v>
      </c>
      <c r="U26" s="560">
        <v>178401</v>
      </c>
      <c r="V26" s="560">
        <v>234687</v>
      </c>
      <c r="W26" s="560">
        <v>6554072</v>
      </c>
      <c r="X26" s="560">
        <v>4327102</v>
      </c>
      <c r="Y26" s="560">
        <v>4691435</v>
      </c>
      <c r="Z26" s="560">
        <v>3582073.0300000012</v>
      </c>
      <c r="AA26" s="560">
        <v>4706255</v>
      </c>
      <c r="AB26" s="560">
        <v>4460673.3499999996</v>
      </c>
      <c r="AC26" s="560">
        <v>6425354</v>
      </c>
      <c r="AD26" s="578">
        <v>-11145015.33</v>
      </c>
      <c r="AE26" s="579">
        <v>27563855</v>
      </c>
      <c r="AF26" s="559">
        <v>3507210.2400000007</v>
      </c>
      <c r="AG26" s="560">
        <v>227049.35</v>
      </c>
      <c r="AH26" s="560">
        <v>172966.38999999998</v>
      </c>
      <c r="AI26" s="560">
        <v>152869.93</v>
      </c>
      <c r="AJ26" s="560">
        <v>141820.14000000013</v>
      </c>
      <c r="AK26" s="560">
        <v>370974.99</v>
      </c>
      <c r="AL26" s="560">
        <v>298460.31999999989</v>
      </c>
      <c r="AM26" s="560">
        <v>3586700.6399999992</v>
      </c>
      <c r="AN26" s="560">
        <v>17069274.770000003</v>
      </c>
      <c r="AO26" s="560">
        <v>4820323</v>
      </c>
      <c r="AP26" s="560">
        <v>3849517.57</v>
      </c>
      <c r="AQ26" s="560">
        <v>4099317.59</v>
      </c>
      <c r="AR26" s="578">
        <v>-5269468.9300000072</v>
      </c>
      <c r="AS26" s="579">
        <v>33027016</v>
      </c>
      <c r="AT26" s="559">
        <v>3297703</v>
      </c>
      <c r="AU26" s="560">
        <v>299009.90000000002</v>
      </c>
      <c r="AV26" s="560">
        <v>61047</v>
      </c>
      <c r="AW26" s="560">
        <v>239238</v>
      </c>
      <c r="AX26" s="560">
        <v>234521</v>
      </c>
      <c r="AY26" s="560">
        <v>254146.88999999996</v>
      </c>
      <c r="AZ26" s="560">
        <v>5437023.5350000001</v>
      </c>
      <c r="BA26" s="560">
        <v>5437023.5350000001</v>
      </c>
      <c r="BB26" s="560">
        <v>5437023.5350000001</v>
      </c>
      <c r="BC26" s="560">
        <v>5437023.5350000001</v>
      </c>
      <c r="BD26" s="560">
        <v>5437023.5350000001</v>
      </c>
      <c r="BE26" s="560">
        <v>5437023.5350000001</v>
      </c>
      <c r="BF26" s="579">
        <v>37007807</v>
      </c>
      <c r="BG26" s="559">
        <v>3323084.0833333335</v>
      </c>
      <c r="BH26" s="560">
        <v>3323084.0833333335</v>
      </c>
      <c r="BI26" s="560">
        <v>3323084.0833333335</v>
      </c>
      <c r="BJ26" s="560">
        <v>3323084.0833333335</v>
      </c>
      <c r="BK26" s="560">
        <v>3323084.0833333335</v>
      </c>
      <c r="BL26" s="560">
        <v>3323084.0833333335</v>
      </c>
      <c r="BM26" s="560">
        <v>3323084.0833333335</v>
      </c>
      <c r="BN26" s="560">
        <v>3323084.0833333335</v>
      </c>
      <c r="BO26" s="560">
        <v>3323084.0833333335</v>
      </c>
      <c r="BP26" s="560">
        <v>3323084.0833333335</v>
      </c>
      <c r="BQ26" s="560">
        <v>3323084.0833333335</v>
      </c>
      <c r="BR26" s="560">
        <v>3323084.0833333335</v>
      </c>
      <c r="BS26" s="579">
        <v>39877009</v>
      </c>
    </row>
    <row r="27" spans="1:71" ht="15" customHeight="1">
      <c r="A27" s="556"/>
      <c r="B27" s="550" t="s">
        <v>55</v>
      </c>
      <c r="C27" s="558" t="s">
        <v>54</v>
      </c>
      <c r="D27" s="559">
        <v>91791.610000000015</v>
      </c>
      <c r="E27" s="560">
        <v>101117.52</v>
      </c>
      <c r="F27" s="560">
        <v>107195.92000000001</v>
      </c>
      <c r="G27" s="560">
        <v>103863.15</v>
      </c>
      <c r="H27" s="560">
        <v>104219.64000000001</v>
      </c>
      <c r="I27" s="560">
        <v>109513.35000000002</v>
      </c>
      <c r="J27" s="560">
        <v>104994.46</v>
      </c>
      <c r="K27" s="560">
        <v>105220.13999999997</v>
      </c>
      <c r="L27" s="560">
        <v>226273.1</v>
      </c>
      <c r="M27" s="560">
        <v>106100.98</v>
      </c>
      <c r="N27" s="560">
        <v>96455.910000000033</v>
      </c>
      <c r="O27" s="560">
        <v>152877.47999999998</v>
      </c>
      <c r="P27" s="560">
        <v>119468.73999999976</v>
      </c>
      <c r="Q27" s="579">
        <v>1529092</v>
      </c>
      <c r="R27" s="559">
        <v>104414.93000000002</v>
      </c>
      <c r="S27" s="560">
        <v>101101</v>
      </c>
      <c r="T27" s="560">
        <v>90173</v>
      </c>
      <c r="U27" s="560">
        <v>106824</v>
      </c>
      <c r="V27" s="560">
        <v>107720</v>
      </c>
      <c r="W27" s="560">
        <v>190352</v>
      </c>
      <c r="X27" s="560">
        <v>125209</v>
      </c>
      <c r="Y27" s="560">
        <v>135850</v>
      </c>
      <c r="Z27" s="560">
        <v>96201.819999999978</v>
      </c>
      <c r="AA27" s="560">
        <v>136187</v>
      </c>
      <c r="AB27" s="560">
        <v>134057.14000000031</v>
      </c>
      <c r="AC27" s="560">
        <v>123898</v>
      </c>
      <c r="AD27" s="560">
        <v>31709.109999999811</v>
      </c>
      <c r="AE27" s="579">
        <v>1483697</v>
      </c>
      <c r="AF27" s="559">
        <v>106065.77</v>
      </c>
      <c r="AG27" s="560">
        <v>107437.43999999999</v>
      </c>
      <c r="AH27" s="560">
        <v>106160.53000000001</v>
      </c>
      <c r="AI27" s="560">
        <v>114635.31999999999</v>
      </c>
      <c r="AJ27" s="560">
        <v>107843.54000000002</v>
      </c>
      <c r="AK27" s="560">
        <v>109896.82999999999</v>
      </c>
      <c r="AL27" s="560">
        <v>153301.56999999998</v>
      </c>
      <c r="AM27" s="560">
        <v>108284.67000000001</v>
      </c>
      <c r="AN27" s="560">
        <v>260589.11000000007</v>
      </c>
      <c r="AO27" s="560">
        <v>145748</v>
      </c>
      <c r="AP27" s="560">
        <v>133548.02000000008</v>
      </c>
      <c r="AQ27" s="560">
        <v>110735</v>
      </c>
      <c r="AR27" s="560">
        <v>33184.199999999779</v>
      </c>
      <c r="AS27" s="579">
        <v>1597430</v>
      </c>
      <c r="AT27" s="559">
        <v>105490</v>
      </c>
      <c r="AU27" s="560">
        <v>114955</v>
      </c>
      <c r="AV27" s="560">
        <v>119088</v>
      </c>
      <c r="AW27" s="560">
        <v>107903</v>
      </c>
      <c r="AX27" s="560">
        <v>115860</v>
      </c>
      <c r="AY27" s="560">
        <v>119334.99</v>
      </c>
      <c r="AZ27" s="560">
        <v>169416.16833333333</v>
      </c>
      <c r="BA27" s="560">
        <v>169416.16833333333</v>
      </c>
      <c r="BB27" s="560">
        <v>169416.16833333333</v>
      </c>
      <c r="BC27" s="560">
        <v>169416.16833333333</v>
      </c>
      <c r="BD27" s="560">
        <v>169416.16833333333</v>
      </c>
      <c r="BE27" s="560">
        <v>169416.16833333333</v>
      </c>
      <c r="BF27" s="579">
        <v>1699128</v>
      </c>
      <c r="BG27" s="559">
        <v>117604</v>
      </c>
      <c r="BH27" s="560">
        <v>117604</v>
      </c>
      <c r="BI27" s="560">
        <v>117604</v>
      </c>
      <c r="BJ27" s="560">
        <v>117604</v>
      </c>
      <c r="BK27" s="560">
        <v>117604</v>
      </c>
      <c r="BL27" s="560">
        <v>117604</v>
      </c>
      <c r="BM27" s="560">
        <v>117604</v>
      </c>
      <c r="BN27" s="560">
        <v>117604</v>
      </c>
      <c r="BO27" s="560">
        <v>117604</v>
      </c>
      <c r="BP27" s="560">
        <v>117604</v>
      </c>
      <c r="BQ27" s="560">
        <v>117604</v>
      </c>
      <c r="BR27" s="560">
        <v>117604</v>
      </c>
      <c r="BS27" s="579">
        <v>1411248</v>
      </c>
    </row>
    <row r="28" spans="1:71" s="586" customFormat="1">
      <c r="A28" s="580" t="s">
        <v>339</v>
      </c>
      <c r="B28" s="581"/>
      <c r="C28" s="582"/>
      <c r="D28" s="583">
        <v>2642069.8299999991</v>
      </c>
      <c r="E28" s="584">
        <v>287930.95999999996</v>
      </c>
      <c r="F28" s="584">
        <v>276356.95</v>
      </c>
      <c r="G28" s="584">
        <v>265113.83999999997</v>
      </c>
      <c r="H28" s="584">
        <v>237757.65</v>
      </c>
      <c r="I28" s="584">
        <v>331963.77</v>
      </c>
      <c r="J28" s="584">
        <v>241092.71000000002</v>
      </c>
      <c r="K28" s="584">
        <v>291316.16999999987</v>
      </c>
      <c r="L28" s="584">
        <v>6708752.4700000025</v>
      </c>
      <c r="M28" s="584">
        <v>3056615.24</v>
      </c>
      <c r="N28" s="584">
        <v>4519426.43</v>
      </c>
      <c r="O28" s="584">
        <v>4396969.8199999984</v>
      </c>
      <c r="P28" s="584">
        <v>7336344.1599999983</v>
      </c>
      <c r="Q28" s="585">
        <v>30591710</v>
      </c>
      <c r="R28" s="583">
        <v>3717797.8800000004</v>
      </c>
      <c r="S28" s="584">
        <v>348804</v>
      </c>
      <c r="T28" s="584">
        <v>-222095</v>
      </c>
      <c r="U28" s="584">
        <v>285225</v>
      </c>
      <c r="V28" s="584">
        <v>342407</v>
      </c>
      <c r="W28" s="584">
        <v>6744424</v>
      </c>
      <c r="X28" s="584">
        <v>4452311</v>
      </c>
      <c r="Y28" s="584">
        <v>4827285</v>
      </c>
      <c r="Z28" s="584">
        <v>3678274.850000001</v>
      </c>
      <c r="AA28" s="584">
        <v>4842442</v>
      </c>
      <c r="AB28" s="584">
        <v>4594730.49</v>
      </c>
      <c r="AC28" s="584">
        <v>6549252</v>
      </c>
      <c r="AD28" s="584">
        <v>-11113306.220000001</v>
      </c>
      <c r="AE28" s="585">
        <v>29047552</v>
      </c>
      <c r="AF28" s="583">
        <v>3613276.0100000007</v>
      </c>
      <c r="AG28" s="584">
        <v>334486.78999999998</v>
      </c>
      <c r="AH28" s="584">
        <v>279126.92</v>
      </c>
      <c r="AI28" s="584">
        <v>267505.25</v>
      </c>
      <c r="AJ28" s="584">
        <v>249663.68000000017</v>
      </c>
      <c r="AK28" s="584">
        <v>480871.81999999995</v>
      </c>
      <c r="AL28" s="584">
        <v>451761.8899999999</v>
      </c>
      <c r="AM28" s="584">
        <v>3694985.3099999991</v>
      </c>
      <c r="AN28" s="584">
        <v>17329863.880000003</v>
      </c>
      <c r="AO28" s="584">
        <v>4966071</v>
      </c>
      <c r="AP28" s="584">
        <v>3983065.59</v>
      </c>
      <c r="AQ28" s="584">
        <v>4210052.59</v>
      </c>
      <c r="AR28" s="584">
        <v>-5236284.7300000042</v>
      </c>
      <c r="AS28" s="585">
        <v>34624446</v>
      </c>
      <c r="AT28" s="583">
        <v>3403193</v>
      </c>
      <c r="AU28" s="584">
        <v>413964.9</v>
      </c>
      <c r="AV28" s="584">
        <v>180135</v>
      </c>
      <c r="AW28" s="584">
        <v>347141</v>
      </c>
      <c r="AX28" s="584">
        <v>350381</v>
      </c>
      <c r="AY28" s="584">
        <v>373481.87999999995</v>
      </c>
      <c r="AZ28" s="584">
        <v>5606439.7033333331</v>
      </c>
      <c r="BA28" s="584">
        <v>5606439.7033333331</v>
      </c>
      <c r="BB28" s="584">
        <v>5606439.7033333331</v>
      </c>
      <c r="BC28" s="584">
        <v>5606439.7033333331</v>
      </c>
      <c r="BD28" s="584">
        <v>5606439.7033333331</v>
      </c>
      <c r="BE28" s="584">
        <v>5606439.7033333331</v>
      </c>
      <c r="BF28" s="585">
        <v>38706935</v>
      </c>
      <c r="BG28" s="583">
        <v>3440688.0833333335</v>
      </c>
      <c r="BH28" s="584">
        <v>3440688.0833333335</v>
      </c>
      <c r="BI28" s="584">
        <v>3440688.0833333335</v>
      </c>
      <c r="BJ28" s="584">
        <v>3440688.0833333335</v>
      </c>
      <c r="BK28" s="584">
        <v>3440688.0833333335</v>
      </c>
      <c r="BL28" s="584">
        <v>3440688.0833333335</v>
      </c>
      <c r="BM28" s="584">
        <v>3440688.0833333335</v>
      </c>
      <c r="BN28" s="584">
        <v>3440688.0833333335</v>
      </c>
      <c r="BO28" s="584">
        <v>3440688.0833333335</v>
      </c>
      <c r="BP28" s="584">
        <v>3440688.0833333335</v>
      </c>
      <c r="BQ28" s="584">
        <v>3440688.0833333335</v>
      </c>
      <c r="BR28" s="584">
        <v>3440688.0833333335</v>
      </c>
      <c r="BS28" s="585">
        <v>41288257</v>
      </c>
    </row>
    <row r="29" spans="1:71" ht="15" customHeight="1">
      <c r="A29" s="556" t="s">
        <v>200</v>
      </c>
      <c r="B29" s="550" t="s">
        <v>491</v>
      </c>
      <c r="C29" s="558" t="s">
        <v>492</v>
      </c>
      <c r="D29" s="559"/>
      <c r="E29" s="560"/>
      <c r="F29" s="560"/>
      <c r="G29" s="560"/>
      <c r="H29" s="560"/>
      <c r="I29" s="560"/>
      <c r="J29" s="560"/>
      <c r="K29" s="560"/>
      <c r="L29" s="560"/>
      <c r="M29" s="560"/>
      <c r="N29" s="560"/>
      <c r="O29" s="560"/>
      <c r="P29" s="560">
        <v>0</v>
      </c>
      <c r="Q29" s="579">
        <v>0</v>
      </c>
      <c r="R29" s="559">
        <v>0</v>
      </c>
      <c r="S29" s="560">
        <v>0</v>
      </c>
      <c r="T29" s="560">
        <v>0</v>
      </c>
      <c r="U29" s="560">
        <v>0</v>
      </c>
      <c r="V29" s="560">
        <v>0</v>
      </c>
      <c r="W29" s="560">
        <v>0</v>
      </c>
      <c r="X29" s="560">
        <v>0</v>
      </c>
      <c r="Y29" s="560">
        <v>0</v>
      </c>
      <c r="Z29" s="560">
        <v>0</v>
      </c>
      <c r="AA29" s="560">
        <v>0</v>
      </c>
      <c r="AB29" s="560">
        <v>0</v>
      </c>
      <c r="AC29" s="560">
        <v>0</v>
      </c>
      <c r="AD29" s="560">
        <v>10300177</v>
      </c>
      <c r="AE29" s="579">
        <v>10300177</v>
      </c>
      <c r="AF29" s="559">
        <v>0</v>
      </c>
      <c r="AG29" s="560">
        <v>0</v>
      </c>
      <c r="AH29" s="560">
        <v>0</v>
      </c>
      <c r="AI29" s="560">
        <v>0</v>
      </c>
      <c r="AJ29" s="560">
        <v>0</v>
      </c>
      <c r="AK29" s="560">
        <v>0</v>
      </c>
      <c r="AL29" s="560">
        <v>0</v>
      </c>
      <c r="AM29" s="560">
        <v>0</v>
      </c>
      <c r="AN29" s="560">
        <v>0</v>
      </c>
      <c r="AO29" s="560">
        <v>0</v>
      </c>
      <c r="AP29" s="560">
        <v>0</v>
      </c>
      <c r="AQ29" s="560">
        <v>6411825.7800000003</v>
      </c>
      <c r="AR29" s="560">
        <v>0.21999999973922968</v>
      </c>
      <c r="AS29" s="579">
        <v>6411826</v>
      </c>
      <c r="AT29" s="559">
        <v>0</v>
      </c>
      <c r="AU29" s="560">
        <v>234665.63636363635</v>
      </c>
      <c r="AV29" s="560">
        <v>234665.63636363638</v>
      </c>
      <c r="AW29" s="560">
        <v>234665.63636363638</v>
      </c>
      <c r="AX29" s="560">
        <v>234665.63636363638</v>
      </c>
      <c r="AY29" s="560">
        <v>234665.63636363638</v>
      </c>
      <c r="AZ29" s="560">
        <v>234665.63636363635</v>
      </c>
      <c r="BA29" s="560">
        <v>234665.63636363635</v>
      </c>
      <c r="BB29" s="560">
        <v>234665.63636363635</v>
      </c>
      <c r="BC29" s="560">
        <v>234665.63636363635</v>
      </c>
      <c r="BD29" s="560">
        <v>234665.63636363635</v>
      </c>
      <c r="BE29" s="560">
        <v>234665.63636363635</v>
      </c>
      <c r="BF29" s="579">
        <v>2581322</v>
      </c>
      <c r="BG29" s="559">
        <v>0</v>
      </c>
      <c r="BH29" s="560">
        <v>0</v>
      </c>
      <c r="BI29" s="560">
        <v>0</v>
      </c>
      <c r="BJ29" s="560">
        <v>0</v>
      </c>
      <c r="BK29" s="560">
        <v>0</v>
      </c>
      <c r="BL29" s="560">
        <v>0</v>
      </c>
      <c r="BM29" s="560">
        <v>0</v>
      </c>
      <c r="BN29" s="560">
        <v>0</v>
      </c>
      <c r="BO29" s="560">
        <v>0</v>
      </c>
      <c r="BP29" s="560">
        <v>0</v>
      </c>
      <c r="BQ29" s="560">
        <v>0</v>
      </c>
      <c r="BR29" s="560">
        <v>0</v>
      </c>
      <c r="BS29" s="579">
        <v>0</v>
      </c>
    </row>
    <row r="30" spans="1:71" ht="15" customHeight="1">
      <c r="A30" s="556"/>
      <c r="B30" s="550" t="s">
        <v>119</v>
      </c>
      <c r="C30" s="558" t="s">
        <v>340</v>
      </c>
      <c r="D30" s="559"/>
      <c r="E30" s="560"/>
      <c r="F30" s="560"/>
      <c r="G30" s="560"/>
      <c r="H30" s="560"/>
      <c r="I30" s="560"/>
      <c r="J30" s="560"/>
      <c r="K30" s="560"/>
      <c r="L30" s="560"/>
      <c r="M30" s="560"/>
      <c r="N30" s="560"/>
      <c r="O30" s="560"/>
      <c r="P30" s="560">
        <v>0</v>
      </c>
      <c r="Q30" s="579">
        <v>0</v>
      </c>
      <c r="R30" s="559">
        <v>0</v>
      </c>
      <c r="S30" s="560">
        <v>0</v>
      </c>
      <c r="T30" s="560">
        <v>0</v>
      </c>
      <c r="U30" s="560">
        <v>0</v>
      </c>
      <c r="V30" s="560">
        <v>0</v>
      </c>
      <c r="W30" s="560">
        <v>0</v>
      </c>
      <c r="X30" s="560">
        <v>0</v>
      </c>
      <c r="Y30" s="560">
        <v>0</v>
      </c>
      <c r="Z30" s="560">
        <v>0</v>
      </c>
      <c r="AA30" s="560">
        <v>0</v>
      </c>
      <c r="AB30" s="560">
        <v>0</v>
      </c>
      <c r="AC30" s="560">
        <v>0</v>
      </c>
      <c r="AD30" s="560">
        <v>0</v>
      </c>
      <c r="AE30" s="579">
        <v>0</v>
      </c>
      <c r="AF30" s="559">
        <v>0</v>
      </c>
      <c r="AG30" s="560">
        <v>0</v>
      </c>
      <c r="AH30" s="560">
        <v>0</v>
      </c>
      <c r="AI30" s="560">
        <v>0</v>
      </c>
      <c r="AJ30" s="560">
        <v>0</v>
      </c>
      <c r="AK30" s="560">
        <v>0</v>
      </c>
      <c r="AL30" s="560">
        <v>0</v>
      </c>
      <c r="AM30" s="560">
        <v>0</v>
      </c>
      <c r="AN30" s="560">
        <v>0</v>
      </c>
      <c r="AO30" s="560">
        <v>0</v>
      </c>
      <c r="AP30" s="560">
        <v>0</v>
      </c>
      <c r="AQ30" s="560">
        <v>0</v>
      </c>
      <c r="AR30" s="560">
        <v>0</v>
      </c>
      <c r="AS30" s="579">
        <v>0</v>
      </c>
      <c r="AT30" s="559">
        <v>0</v>
      </c>
      <c r="AU30" s="560">
        <v>0</v>
      </c>
      <c r="AV30" s="560">
        <v>0</v>
      </c>
      <c r="AW30" s="560">
        <v>0</v>
      </c>
      <c r="AX30" s="560">
        <v>0</v>
      </c>
      <c r="AY30" s="560">
        <v>0</v>
      </c>
      <c r="AZ30" s="560">
        <v>0</v>
      </c>
      <c r="BA30" s="560">
        <v>0</v>
      </c>
      <c r="BB30" s="560">
        <v>0</v>
      </c>
      <c r="BC30" s="560">
        <v>0</v>
      </c>
      <c r="BD30" s="560">
        <v>0</v>
      </c>
      <c r="BE30" s="560">
        <v>0</v>
      </c>
      <c r="BF30" s="579">
        <v>0</v>
      </c>
      <c r="BG30" s="559">
        <v>0</v>
      </c>
      <c r="BH30" s="560">
        <v>0</v>
      </c>
      <c r="BI30" s="560">
        <v>0</v>
      </c>
      <c r="BJ30" s="560">
        <v>0</v>
      </c>
      <c r="BK30" s="560">
        <v>0</v>
      </c>
      <c r="BL30" s="560">
        <v>0</v>
      </c>
      <c r="BM30" s="560">
        <v>0</v>
      </c>
      <c r="BN30" s="560">
        <v>0</v>
      </c>
      <c r="BO30" s="560">
        <v>0</v>
      </c>
      <c r="BP30" s="560">
        <v>0</v>
      </c>
      <c r="BQ30" s="560">
        <v>0</v>
      </c>
      <c r="BR30" s="560">
        <v>0</v>
      </c>
      <c r="BS30" s="579">
        <v>0</v>
      </c>
    </row>
    <row r="31" spans="1:71">
      <c r="A31" s="556"/>
      <c r="B31" s="550" t="s">
        <v>118</v>
      </c>
      <c r="C31" s="558" t="s">
        <v>341</v>
      </c>
      <c r="D31" s="559"/>
      <c r="E31" s="560"/>
      <c r="F31" s="560"/>
      <c r="G31" s="560"/>
      <c r="H31" s="560"/>
      <c r="I31" s="560"/>
      <c r="J31" s="560"/>
      <c r="K31" s="560"/>
      <c r="L31" s="560"/>
      <c r="M31" s="560"/>
      <c r="N31" s="560"/>
      <c r="O31" s="560"/>
      <c r="P31" s="560">
        <v>0</v>
      </c>
      <c r="Q31" s="579">
        <v>0</v>
      </c>
      <c r="R31" s="559">
        <v>0</v>
      </c>
      <c r="S31" s="560">
        <v>0</v>
      </c>
      <c r="T31" s="560">
        <v>0</v>
      </c>
      <c r="U31" s="560">
        <v>0</v>
      </c>
      <c r="V31" s="560">
        <v>0</v>
      </c>
      <c r="W31" s="560">
        <v>0</v>
      </c>
      <c r="X31" s="560">
        <v>0</v>
      </c>
      <c r="Y31" s="560">
        <v>0</v>
      </c>
      <c r="Z31" s="560">
        <v>0</v>
      </c>
      <c r="AA31" s="560">
        <v>0</v>
      </c>
      <c r="AB31" s="560">
        <v>0</v>
      </c>
      <c r="AC31" s="560">
        <v>0</v>
      </c>
      <c r="AD31" s="560">
        <v>0</v>
      </c>
      <c r="AE31" s="579">
        <v>0</v>
      </c>
      <c r="AF31" s="559">
        <v>0</v>
      </c>
      <c r="AG31" s="560">
        <v>0</v>
      </c>
      <c r="AH31" s="560">
        <v>0</v>
      </c>
      <c r="AI31" s="560">
        <v>0</v>
      </c>
      <c r="AJ31" s="560">
        <v>0</v>
      </c>
      <c r="AK31" s="560">
        <v>0</v>
      </c>
      <c r="AL31" s="560">
        <v>0</v>
      </c>
      <c r="AM31" s="560">
        <v>0</v>
      </c>
      <c r="AN31" s="560">
        <v>0</v>
      </c>
      <c r="AO31" s="560">
        <v>0</v>
      </c>
      <c r="AP31" s="560">
        <v>0</v>
      </c>
      <c r="AQ31" s="560">
        <v>0</v>
      </c>
      <c r="AR31" s="560">
        <v>0</v>
      </c>
      <c r="AS31" s="579">
        <v>0</v>
      </c>
      <c r="AT31" s="559">
        <v>0</v>
      </c>
      <c r="AU31" s="560">
        <v>0</v>
      </c>
      <c r="AV31" s="560">
        <v>0</v>
      </c>
      <c r="AW31" s="560">
        <v>0</v>
      </c>
      <c r="AX31" s="560">
        <v>0</v>
      </c>
      <c r="AY31" s="560">
        <v>0</v>
      </c>
      <c r="AZ31" s="560">
        <v>0</v>
      </c>
      <c r="BA31" s="560">
        <v>0</v>
      </c>
      <c r="BB31" s="560">
        <v>0</v>
      </c>
      <c r="BC31" s="560">
        <v>0</v>
      </c>
      <c r="BD31" s="560">
        <v>0</v>
      </c>
      <c r="BE31" s="560">
        <v>0</v>
      </c>
      <c r="BF31" s="579">
        <v>0</v>
      </c>
      <c r="BG31" s="559">
        <v>0</v>
      </c>
      <c r="BH31" s="560">
        <v>0</v>
      </c>
      <c r="BI31" s="560">
        <v>0</v>
      </c>
      <c r="BJ31" s="560">
        <v>0</v>
      </c>
      <c r="BK31" s="560">
        <v>0</v>
      </c>
      <c r="BL31" s="560">
        <v>0</v>
      </c>
      <c r="BM31" s="560">
        <v>0</v>
      </c>
      <c r="BN31" s="560">
        <v>0</v>
      </c>
      <c r="BO31" s="560">
        <v>0</v>
      </c>
      <c r="BP31" s="560">
        <v>0</v>
      </c>
      <c r="BQ31" s="560">
        <v>0</v>
      </c>
      <c r="BR31" s="560">
        <v>0</v>
      </c>
      <c r="BS31" s="579">
        <v>0</v>
      </c>
    </row>
    <row r="32" spans="1:71">
      <c r="A32" s="556"/>
      <c r="B32" s="550" t="s">
        <v>367</v>
      </c>
      <c r="C32" s="558" t="s">
        <v>369</v>
      </c>
      <c r="D32" s="559"/>
      <c r="E32" s="560"/>
      <c r="F32" s="560"/>
      <c r="G32" s="560"/>
      <c r="H32" s="560"/>
      <c r="I32" s="560"/>
      <c r="J32" s="560"/>
      <c r="K32" s="560"/>
      <c r="L32" s="560"/>
      <c r="M32" s="560"/>
      <c r="N32" s="560"/>
      <c r="O32" s="560"/>
      <c r="P32" s="560">
        <v>0</v>
      </c>
      <c r="Q32" s="579">
        <v>0</v>
      </c>
      <c r="R32" s="559">
        <v>0</v>
      </c>
      <c r="S32" s="560">
        <v>0</v>
      </c>
      <c r="T32" s="560">
        <v>0</v>
      </c>
      <c r="U32" s="560">
        <v>0</v>
      </c>
      <c r="V32" s="560">
        <v>0</v>
      </c>
      <c r="W32" s="560">
        <v>0</v>
      </c>
      <c r="X32" s="560">
        <v>0</v>
      </c>
      <c r="Y32" s="560">
        <v>0</v>
      </c>
      <c r="Z32" s="560">
        <v>0</v>
      </c>
      <c r="AA32" s="560">
        <v>0</v>
      </c>
      <c r="AB32" s="560">
        <v>0</v>
      </c>
      <c r="AC32" s="560">
        <v>0</v>
      </c>
      <c r="AD32" s="560">
        <v>0</v>
      </c>
      <c r="AE32" s="579">
        <v>0</v>
      </c>
      <c r="AF32" s="559">
        <v>0</v>
      </c>
      <c r="AG32" s="560">
        <v>0</v>
      </c>
      <c r="AH32" s="560">
        <v>0</v>
      </c>
      <c r="AI32" s="560">
        <v>0</v>
      </c>
      <c r="AJ32" s="560">
        <v>0</v>
      </c>
      <c r="AK32" s="560">
        <v>0</v>
      </c>
      <c r="AL32" s="560">
        <v>0</v>
      </c>
      <c r="AM32" s="560">
        <v>0</v>
      </c>
      <c r="AN32" s="560">
        <v>0</v>
      </c>
      <c r="AO32" s="560">
        <v>0</v>
      </c>
      <c r="AP32" s="560">
        <v>0</v>
      </c>
      <c r="AQ32" s="560">
        <v>0</v>
      </c>
      <c r="AR32" s="560">
        <v>0</v>
      </c>
      <c r="AS32" s="579">
        <v>0</v>
      </c>
      <c r="AT32" s="559">
        <v>0</v>
      </c>
      <c r="AU32" s="560">
        <v>0</v>
      </c>
      <c r="AV32" s="560">
        <v>0</v>
      </c>
      <c r="AW32" s="560">
        <v>0</v>
      </c>
      <c r="AX32" s="560">
        <v>0</v>
      </c>
      <c r="AY32" s="560">
        <v>0</v>
      </c>
      <c r="AZ32" s="560">
        <v>0</v>
      </c>
      <c r="BA32" s="560">
        <v>0</v>
      </c>
      <c r="BB32" s="560">
        <v>0</v>
      </c>
      <c r="BC32" s="560">
        <v>0</v>
      </c>
      <c r="BD32" s="560">
        <v>0</v>
      </c>
      <c r="BE32" s="560">
        <v>0</v>
      </c>
      <c r="BF32" s="579">
        <v>0</v>
      </c>
      <c r="BG32" s="559">
        <v>0</v>
      </c>
      <c r="BH32" s="560">
        <v>0</v>
      </c>
      <c r="BI32" s="560">
        <v>0</v>
      </c>
      <c r="BJ32" s="560">
        <v>0</v>
      </c>
      <c r="BK32" s="560">
        <v>0</v>
      </c>
      <c r="BL32" s="560">
        <v>0</v>
      </c>
      <c r="BM32" s="560">
        <v>0</v>
      </c>
      <c r="BN32" s="560">
        <v>0</v>
      </c>
      <c r="BO32" s="560">
        <v>0</v>
      </c>
      <c r="BP32" s="560">
        <v>0</v>
      </c>
      <c r="BQ32" s="560">
        <v>0</v>
      </c>
      <c r="BR32" s="560">
        <v>0</v>
      </c>
      <c r="BS32" s="579">
        <v>0</v>
      </c>
    </row>
    <row r="33" spans="1:71" ht="15" customHeight="1">
      <c r="A33" s="556"/>
      <c r="B33" s="550" t="s">
        <v>64</v>
      </c>
      <c r="C33" s="558" t="s">
        <v>63</v>
      </c>
      <c r="D33" s="559"/>
      <c r="E33" s="560"/>
      <c r="F33" s="560"/>
      <c r="G33" s="560"/>
      <c r="H33" s="560"/>
      <c r="I33" s="560"/>
      <c r="J33" s="560"/>
      <c r="K33" s="560"/>
      <c r="L33" s="560"/>
      <c r="M33" s="560"/>
      <c r="N33" s="560"/>
      <c r="O33" s="560"/>
      <c r="P33" s="560">
        <v>0</v>
      </c>
      <c r="Q33" s="579" t="s">
        <v>457</v>
      </c>
      <c r="R33" s="559">
        <v>0</v>
      </c>
      <c r="S33" s="560">
        <v>0</v>
      </c>
      <c r="T33" s="560">
        <v>0</v>
      </c>
      <c r="U33" s="560">
        <v>0</v>
      </c>
      <c r="V33" s="560">
        <v>0</v>
      </c>
      <c r="W33" s="560">
        <v>0</v>
      </c>
      <c r="X33" s="560">
        <v>0</v>
      </c>
      <c r="Y33" s="560">
        <v>0</v>
      </c>
      <c r="Z33" s="560">
        <v>0</v>
      </c>
      <c r="AA33" s="560">
        <v>0</v>
      </c>
      <c r="AB33" s="560">
        <v>0</v>
      </c>
      <c r="AC33" s="560">
        <v>0</v>
      </c>
      <c r="AD33" s="560">
        <v>0</v>
      </c>
      <c r="AE33" s="579">
        <v>0</v>
      </c>
      <c r="AF33" s="559">
        <v>0</v>
      </c>
      <c r="AG33" s="560">
        <v>0</v>
      </c>
      <c r="AH33" s="560">
        <v>0</v>
      </c>
      <c r="AI33" s="560">
        <v>0</v>
      </c>
      <c r="AJ33" s="560">
        <v>0</v>
      </c>
      <c r="AK33" s="560">
        <v>0</v>
      </c>
      <c r="AL33" s="560">
        <v>0</v>
      </c>
      <c r="AM33" s="560">
        <v>0</v>
      </c>
      <c r="AN33" s="560">
        <v>0</v>
      </c>
      <c r="AO33" s="560">
        <v>0</v>
      </c>
      <c r="AP33" s="560">
        <v>0</v>
      </c>
      <c r="AQ33" s="560">
        <v>0</v>
      </c>
      <c r="AR33" s="560">
        <v>0</v>
      </c>
      <c r="AS33" s="579">
        <v>0</v>
      </c>
      <c r="AT33" s="559">
        <v>0</v>
      </c>
      <c r="AU33" s="560">
        <v>0</v>
      </c>
      <c r="AV33" s="560">
        <v>0</v>
      </c>
      <c r="AW33" s="560">
        <v>0</v>
      </c>
      <c r="AX33" s="560">
        <v>0</v>
      </c>
      <c r="AY33" s="560">
        <v>0</v>
      </c>
      <c r="AZ33" s="560">
        <v>0</v>
      </c>
      <c r="BA33" s="560">
        <v>0</v>
      </c>
      <c r="BB33" s="560">
        <v>0</v>
      </c>
      <c r="BC33" s="560">
        <v>0</v>
      </c>
      <c r="BD33" s="560">
        <v>0</v>
      </c>
      <c r="BE33" s="560">
        <v>0</v>
      </c>
      <c r="BF33" s="579">
        <v>0</v>
      </c>
      <c r="BG33" s="559">
        <v>0</v>
      </c>
      <c r="BH33" s="560">
        <v>0</v>
      </c>
      <c r="BI33" s="560">
        <v>0</v>
      </c>
      <c r="BJ33" s="560">
        <v>0</v>
      </c>
      <c r="BK33" s="560">
        <v>0</v>
      </c>
      <c r="BL33" s="560">
        <v>0</v>
      </c>
      <c r="BM33" s="560">
        <v>0</v>
      </c>
      <c r="BN33" s="560">
        <v>0</v>
      </c>
      <c r="BO33" s="560">
        <v>0</v>
      </c>
      <c r="BP33" s="560">
        <v>0</v>
      </c>
      <c r="BQ33" s="560">
        <v>0</v>
      </c>
      <c r="BR33" s="560">
        <v>0</v>
      </c>
      <c r="BS33" s="579">
        <v>0</v>
      </c>
    </row>
    <row r="34" spans="1:71">
      <c r="A34" s="556"/>
      <c r="B34" s="550" t="s">
        <v>70</v>
      </c>
      <c r="C34" s="558" t="s">
        <v>69</v>
      </c>
      <c r="D34" s="559"/>
      <c r="E34" s="560"/>
      <c r="F34" s="560"/>
      <c r="G34" s="560"/>
      <c r="H34" s="560"/>
      <c r="I34" s="560"/>
      <c r="J34" s="560"/>
      <c r="K34" s="560"/>
      <c r="L34" s="560"/>
      <c r="M34" s="560"/>
      <c r="N34" s="560"/>
      <c r="O34" s="560"/>
      <c r="P34" s="560">
        <v>0</v>
      </c>
      <c r="Q34" s="579">
        <v>0</v>
      </c>
      <c r="R34" s="559">
        <v>0</v>
      </c>
      <c r="S34" s="560">
        <v>0</v>
      </c>
      <c r="T34" s="560">
        <v>0</v>
      </c>
      <c r="U34" s="560">
        <v>0</v>
      </c>
      <c r="V34" s="560">
        <v>0</v>
      </c>
      <c r="W34" s="560">
        <v>0</v>
      </c>
      <c r="X34" s="560">
        <v>0</v>
      </c>
      <c r="Y34" s="560">
        <v>0</v>
      </c>
      <c r="Z34" s="560">
        <v>0</v>
      </c>
      <c r="AA34" s="560">
        <v>0</v>
      </c>
      <c r="AB34" s="560">
        <v>0</v>
      </c>
      <c r="AC34" s="560">
        <v>0</v>
      </c>
      <c r="AD34" s="560">
        <v>0</v>
      </c>
      <c r="AE34" s="579">
        <v>0</v>
      </c>
      <c r="AF34" s="559">
        <v>0</v>
      </c>
      <c r="AG34" s="560">
        <v>0</v>
      </c>
      <c r="AH34" s="560">
        <v>0</v>
      </c>
      <c r="AI34" s="560">
        <v>0</v>
      </c>
      <c r="AJ34" s="560">
        <v>0</v>
      </c>
      <c r="AK34" s="560">
        <v>0</v>
      </c>
      <c r="AL34" s="560">
        <v>0</v>
      </c>
      <c r="AM34" s="560">
        <v>0</v>
      </c>
      <c r="AN34" s="560">
        <v>0</v>
      </c>
      <c r="AO34" s="560">
        <v>0</v>
      </c>
      <c r="AP34" s="560">
        <v>0</v>
      </c>
      <c r="AQ34" s="560">
        <v>0</v>
      </c>
      <c r="AR34" s="560">
        <v>0</v>
      </c>
      <c r="AS34" s="579">
        <v>0</v>
      </c>
      <c r="AT34" s="559">
        <v>0</v>
      </c>
      <c r="AU34" s="560">
        <v>0</v>
      </c>
      <c r="AV34" s="560">
        <v>0</v>
      </c>
      <c r="AW34" s="560">
        <v>0</v>
      </c>
      <c r="AX34" s="560">
        <v>0</v>
      </c>
      <c r="AY34" s="560">
        <v>0</v>
      </c>
      <c r="AZ34" s="560">
        <v>0</v>
      </c>
      <c r="BA34" s="560">
        <v>0</v>
      </c>
      <c r="BB34" s="560">
        <v>0</v>
      </c>
      <c r="BC34" s="560">
        <v>0</v>
      </c>
      <c r="BD34" s="560">
        <v>0</v>
      </c>
      <c r="BE34" s="560">
        <v>0</v>
      </c>
      <c r="BF34" s="579">
        <v>0</v>
      </c>
      <c r="BG34" s="559">
        <v>0</v>
      </c>
      <c r="BH34" s="560">
        <v>0</v>
      </c>
      <c r="BI34" s="560">
        <v>0</v>
      </c>
      <c r="BJ34" s="560">
        <v>0</v>
      </c>
      <c r="BK34" s="560">
        <v>0</v>
      </c>
      <c r="BL34" s="560">
        <v>0</v>
      </c>
      <c r="BM34" s="560">
        <v>0</v>
      </c>
      <c r="BN34" s="560">
        <v>0</v>
      </c>
      <c r="BO34" s="560">
        <v>0</v>
      </c>
      <c r="BP34" s="560">
        <v>0</v>
      </c>
      <c r="BQ34" s="560">
        <v>0</v>
      </c>
      <c r="BR34" s="560">
        <v>0</v>
      </c>
      <c r="BS34" s="579">
        <v>0</v>
      </c>
    </row>
    <row r="35" spans="1:71">
      <c r="A35" s="556"/>
      <c r="B35" s="550" t="s">
        <v>72</v>
      </c>
      <c r="C35" s="558" t="s">
        <v>71</v>
      </c>
      <c r="D35" s="559"/>
      <c r="E35" s="560"/>
      <c r="F35" s="560"/>
      <c r="G35" s="560"/>
      <c r="H35" s="560"/>
      <c r="I35" s="560"/>
      <c r="J35" s="560"/>
      <c r="K35" s="560"/>
      <c r="L35" s="560"/>
      <c r="M35" s="560"/>
      <c r="N35" s="560"/>
      <c r="O35" s="560"/>
      <c r="P35" s="560">
        <v>0</v>
      </c>
      <c r="Q35" s="579">
        <v>0</v>
      </c>
      <c r="R35" s="559">
        <v>0</v>
      </c>
      <c r="S35" s="560">
        <v>0</v>
      </c>
      <c r="T35" s="560">
        <v>0</v>
      </c>
      <c r="U35" s="560">
        <v>0</v>
      </c>
      <c r="V35" s="560">
        <v>0</v>
      </c>
      <c r="W35" s="560">
        <v>0</v>
      </c>
      <c r="X35" s="560">
        <v>0</v>
      </c>
      <c r="Y35" s="560">
        <v>0</v>
      </c>
      <c r="Z35" s="560">
        <v>0</v>
      </c>
      <c r="AA35" s="560">
        <v>0</v>
      </c>
      <c r="AB35" s="560">
        <v>0</v>
      </c>
      <c r="AC35" s="560">
        <v>0</v>
      </c>
      <c r="AD35" s="560">
        <v>0</v>
      </c>
      <c r="AE35" s="579">
        <v>0</v>
      </c>
      <c r="AF35" s="559">
        <v>0</v>
      </c>
      <c r="AG35" s="560">
        <v>0</v>
      </c>
      <c r="AH35" s="560">
        <v>0</v>
      </c>
      <c r="AI35" s="560">
        <v>0</v>
      </c>
      <c r="AJ35" s="560">
        <v>0</v>
      </c>
      <c r="AK35" s="560">
        <v>0</v>
      </c>
      <c r="AL35" s="560">
        <v>0</v>
      </c>
      <c r="AM35" s="560">
        <v>0</v>
      </c>
      <c r="AN35" s="560">
        <v>0</v>
      </c>
      <c r="AO35" s="560">
        <v>0</v>
      </c>
      <c r="AP35" s="560">
        <v>0</v>
      </c>
      <c r="AQ35" s="560">
        <v>0</v>
      </c>
      <c r="AR35" s="560">
        <v>0</v>
      </c>
      <c r="AS35" s="579">
        <v>0</v>
      </c>
      <c r="AT35" s="559">
        <v>0</v>
      </c>
      <c r="AU35" s="560">
        <v>0</v>
      </c>
      <c r="AV35" s="560">
        <v>0</v>
      </c>
      <c r="AW35" s="560">
        <v>0</v>
      </c>
      <c r="AX35" s="560">
        <v>0</v>
      </c>
      <c r="AY35" s="560">
        <v>0</v>
      </c>
      <c r="AZ35" s="560">
        <v>0</v>
      </c>
      <c r="BA35" s="560">
        <v>0</v>
      </c>
      <c r="BB35" s="560">
        <v>0</v>
      </c>
      <c r="BC35" s="560">
        <v>0</v>
      </c>
      <c r="BD35" s="560">
        <v>0</v>
      </c>
      <c r="BE35" s="560">
        <v>0</v>
      </c>
      <c r="BF35" s="579">
        <v>0</v>
      </c>
      <c r="BG35" s="559">
        <v>0</v>
      </c>
      <c r="BH35" s="560">
        <v>0</v>
      </c>
      <c r="BI35" s="560">
        <v>0</v>
      </c>
      <c r="BJ35" s="560">
        <v>0</v>
      </c>
      <c r="BK35" s="560">
        <v>0</v>
      </c>
      <c r="BL35" s="560">
        <v>0</v>
      </c>
      <c r="BM35" s="560">
        <v>0</v>
      </c>
      <c r="BN35" s="560">
        <v>0</v>
      </c>
      <c r="BO35" s="560">
        <v>0</v>
      </c>
      <c r="BP35" s="560">
        <v>0</v>
      </c>
      <c r="BQ35" s="560">
        <v>0</v>
      </c>
      <c r="BR35" s="560">
        <v>0</v>
      </c>
      <c r="BS35" s="579">
        <v>0</v>
      </c>
    </row>
    <row r="36" spans="1:71">
      <c r="A36" s="556"/>
      <c r="B36" s="550" t="s">
        <v>74</v>
      </c>
      <c r="C36" s="558" t="s">
        <v>73</v>
      </c>
      <c r="D36" s="559"/>
      <c r="E36" s="560"/>
      <c r="F36" s="560"/>
      <c r="G36" s="560"/>
      <c r="H36" s="560"/>
      <c r="I36" s="560"/>
      <c r="J36" s="560"/>
      <c r="K36" s="560"/>
      <c r="L36" s="560"/>
      <c r="M36" s="560"/>
      <c r="N36" s="560"/>
      <c r="O36" s="560"/>
      <c r="P36" s="560">
        <v>0</v>
      </c>
      <c r="Q36" s="579">
        <v>0</v>
      </c>
      <c r="R36" s="559">
        <v>0</v>
      </c>
      <c r="S36" s="560">
        <v>0</v>
      </c>
      <c r="T36" s="560">
        <v>0</v>
      </c>
      <c r="U36" s="560">
        <v>0</v>
      </c>
      <c r="V36" s="560">
        <v>0</v>
      </c>
      <c r="W36" s="560">
        <v>0</v>
      </c>
      <c r="X36" s="560">
        <v>0</v>
      </c>
      <c r="Y36" s="560">
        <v>0</v>
      </c>
      <c r="Z36" s="560">
        <v>0</v>
      </c>
      <c r="AA36" s="560">
        <v>0</v>
      </c>
      <c r="AB36" s="560">
        <v>0</v>
      </c>
      <c r="AC36" s="560">
        <v>0</v>
      </c>
      <c r="AD36" s="560">
        <v>0</v>
      </c>
      <c r="AE36" s="579">
        <v>0</v>
      </c>
      <c r="AF36" s="559">
        <v>0</v>
      </c>
      <c r="AG36" s="560">
        <v>0</v>
      </c>
      <c r="AH36" s="560">
        <v>0</v>
      </c>
      <c r="AI36" s="560">
        <v>0</v>
      </c>
      <c r="AJ36" s="560">
        <v>0</v>
      </c>
      <c r="AK36" s="560">
        <v>0</v>
      </c>
      <c r="AL36" s="560">
        <v>0</v>
      </c>
      <c r="AM36" s="560">
        <v>0</v>
      </c>
      <c r="AN36" s="560">
        <v>0</v>
      </c>
      <c r="AO36" s="560">
        <v>0</v>
      </c>
      <c r="AP36" s="560">
        <v>0</v>
      </c>
      <c r="AQ36" s="560">
        <v>0</v>
      </c>
      <c r="AR36" s="560">
        <v>0</v>
      </c>
      <c r="AS36" s="579">
        <v>0</v>
      </c>
      <c r="AT36" s="559">
        <v>0</v>
      </c>
      <c r="AU36" s="560">
        <v>0</v>
      </c>
      <c r="AV36" s="560">
        <v>0</v>
      </c>
      <c r="AW36" s="560">
        <v>0</v>
      </c>
      <c r="AX36" s="560">
        <v>0</v>
      </c>
      <c r="AY36" s="560">
        <v>0</v>
      </c>
      <c r="AZ36" s="560">
        <v>0</v>
      </c>
      <c r="BA36" s="560">
        <v>0</v>
      </c>
      <c r="BB36" s="560">
        <v>0</v>
      </c>
      <c r="BC36" s="560">
        <v>0</v>
      </c>
      <c r="BD36" s="560">
        <v>0</v>
      </c>
      <c r="BE36" s="560">
        <v>0</v>
      </c>
      <c r="BF36" s="579">
        <v>0</v>
      </c>
      <c r="BG36" s="559">
        <v>0</v>
      </c>
      <c r="BH36" s="560">
        <v>0</v>
      </c>
      <c r="BI36" s="560">
        <v>0</v>
      </c>
      <c r="BJ36" s="560">
        <v>0</v>
      </c>
      <c r="BK36" s="560">
        <v>0</v>
      </c>
      <c r="BL36" s="560">
        <v>0</v>
      </c>
      <c r="BM36" s="560">
        <v>0</v>
      </c>
      <c r="BN36" s="560">
        <v>0</v>
      </c>
      <c r="BO36" s="560">
        <v>0</v>
      </c>
      <c r="BP36" s="560">
        <v>0</v>
      </c>
      <c r="BQ36" s="560">
        <v>0</v>
      </c>
      <c r="BR36" s="560">
        <v>0</v>
      </c>
      <c r="BS36" s="579">
        <v>0</v>
      </c>
    </row>
    <row r="37" spans="1:71">
      <c r="A37" s="556"/>
      <c r="B37" s="550" t="s">
        <v>132</v>
      </c>
      <c r="C37" s="558" t="s">
        <v>342</v>
      </c>
      <c r="D37" s="559"/>
      <c r="E37" s="560"/>
      <c r="F37" s="560"/>
      <c r="G37" s="560"/>
      <c r="H37" s="560"/>
      <c r="I37" s="560"/>
      <c r="J37" s="560"/>
      <c r="K37" s="560"/>
      <c r="L37" s="560"/>
      <c r="M37" s="560"/>
      <c r="N37" s="560"/>
      <c r="O37" s="560"/>
      <c r="P37" s="560">
        <v>0</v>
      </c>
      <c r="Q37" s="579">
        <v>0</v>
      </c>
      <c r="R37" s="559">
        <v>0</v>
      </c>
      <c r="S37" s="560">
        <v>0</v>
      </c>
      <c r="T37" s="560">
        <v>0</v>
      </c>
      <c r="U37" s="560">
        <v>0</v>
      </c>
      <c r="V37" s="560">
        <v>0</v>
      </c>
      <c r="W37" s="560">
        <v>0</v>
      </c>
      <c r="X37" s="560">
        <v>0</v>
      </c>
      <c r="Y37" s="560">
        <v>0</v>
      </c>
      <c r="Z37" s="560">
        <v>0</v>
      </c>
      <c r="AA37" s="560">
        <v>0</v>
      </c>
      <c r="AB37" s="560">
        <v>0</v>
      </c>
      <c r="AC37" s="560">
        <v>0</v>
      </c>
      <c r="AD37" s="560">
        <v>0</v>
      </c>
      <c r="AE37" s="579">
        <v>0</v>
      </c>
      <c r="AF37" s="559">
        <v>0</v>
      </c>
      <c r="AG37" s="560">
        <v>0</v>
      </c>
      <c r="AH37" s="560">
        <v>0</v>
      </c>
      <c r="AI37" s="560">
        <v>0</v>
      </c>
      <c r="AJ37" s="560">
        <v>0</v>
      </c>
      <c r="AK37" s="560">
        <v>0</v>
      </c>
      <c r="AL37" s="560">
        <v>0</v>
      </c>
      <c r="AM37" s="560">
        <v>0</v>
      </c>
      <c r="AN37" s="560">
        <v>0</v>
      </c>
      <c r="AO37" s="560">
        <v>0</v>
      </c>
      <c r="AP37" s="560">
        <v>0</v>
      </c>
      <c r="AQ37" s="560">
        <v>0</v>
      </c>
      <c r="AR37" s="560">
        <v>0</v>
      </c>
      <c r="AS37" s="579">
        <v>0</v>
      </c>
      <c r="AT37" s="559">
        <v>0</v>
      </c>
      <c r="AU37" s="560">
        <v>0</v>
      </c>
      <c r="AV37" s="560">
        <v>0</v>
      </c>
      <c r="AW37" s="560">
        <v>0</v>
      </c>
      <c r="AX37" s="560">
        <v>0</v>
      </c>
      <c r="AY37" s="560">
        <v>0</v>
      </c>
      <c r="AZ37" s="560">
        <v>0</v>
      </c>
      <c r="BA37" s="560">
        <v>0</v>
      </c>
      <c r="BB37" s="560">
        <v>0</v>
      </c>
      <c r="BC37" s="560">
        <v>0</v>
      </c>
      <c r="BD37" s="560">
        <v>0</v>
      </c>
      <c r="BE37" s="560">
        <v>0</v>
      </c>
      <c r="BF37" s="579">
        <v>0</v>
      </c>
      <c r="BG37" s="559">
        <v>0</v>
      </c>
      <c r="BH37" s="560">
        <v>0</v>
      </c>
      <c r="BI37" s="560">
        <v>0</v>
      </c>
      <c r="BJ37" s="560">
        <v>0</v>
      </c>
      <c r="BK37" s="560">
        <v>0</v>
      </c>
      <c r="BL37" s="560">
        <v>0</v>
      </c>
      <c r="BM37" s="560">
        <v>0</v>
      </c>
      <c r="BN37" s="560">
        <v>0</v>
      </c>
      <c r="BO37" s="560">
        <v>0</v>
      </c>
      <c r="BP37" s="560">
        <v>0</v>
      </c>
      <c r="BQ37" s="560">
        <v>0</v>
      </c>
      <c r="BR37" s="560">
        <v>0</v>
      </c>
      <c r="BS37" s="579">
        <v>0</v>
      </c>
    </row>
    <row r="38" spans="1:71">
      <c r="A38" s="556"/>
      <c r="B38" s="550" t="s">
        <v>365</v>
      </c>
      <c r="C38" s="558" t="s">
        <v>364</v>
      </c>
      <c r="D38" s="559"/>
      <c r="E38" s="560"/>
      <c r="F38" s="560"/>
      <c r="G38" s="560"/>
      <c r="H38" s="560"/>
      <c r="I38" s="560"/>
      <c r="J38" s="560"/>
      <c r="K38" s="560"/>
      <c r="L38" s="560"/>
      <c r="M38" s="560"/>
      <c r="N38" s="560"/>
      <c r="O38" s="560"/>
      <c r="P38" s="560">
        <v>0</v>
      </c>
      <c r="Q38" s="579">
        <v>0</v>
      </c>
      <c r="R38" s="559">
        <v>0</v>
      </c>
      <c r="S38" s="560">
        <v>0</v>
      </c>
      <c r="T38" s="560">
        <v>0</v>
      </c>
      <c r="U38" s="560">
        <v>0</v>
      </c>
      <c r="V38" s="560">
        <v>0</v>
      </c>
      <c r="W38" s="560">
        <v>0</v>
      </c>
      <c r="X38" s="560">
        <v>0</v>
      </c>
      <c r="Y38" s="560">
        <v>0</v>
      </c>
      <c r="Z38" s="560">
        <v>0</v>
      </c>
      <c r="AA38" s="560">
        <v>0</v>
      </c>
      <c r="AB38" s="560">
        <v>0</v>
      </c>
      <c r="AC38" s="560">
        <v>0</v>
      </c>
      <c r="AD38" s="560">
        <v>0</v>
      </c>
      <c r="AE38" s="579">
        <v>0</v>
      </c>
      <c r="AF38" s="559">
        <v>0</v>
      </c>
      <c r="AG38" s="560">
        <v>0</v>
      </c>
      <c r="AH38" s="560">
        <v>0</v>
      </c>
      <c r="AI38" s="560">
        <v>0</v>
      </c>
      <c r="AJ38" s="560">
        <v>0</v>
      </c>
      <c r="AK38" s="560">
        <v>0</v>
      </c>
      <c r="AL38" s="560">
        <v>0</v>
      </c>
      <c r="AM38" s="560">
        <v>0</v>
      </c>
      <c r="AN38" s="560">
        <v>0</v>
      </c>
      <c r="AO38" s="560">
        <v>0</v>
      </c>
      <c r="AP38" s="560">
        <v>0</v>
      </c>
      <c r="AQ38" s="560">
        <v>0</v>
      </c>
      <c r="AR38" s="560">
        <v>0</v>
      </c>
      <c r="AS38" s="579">
        <v>0</v>
      </c>
      <c r="AT38" s="559">
        <v>0</v>
      </c>
      <c r="AU38" s="560">
        <v>0</v>
      </c>
      <c r="AV38" s="560">
        <v>0</v>
      </c>
      <c r="AW38" s="560">
        <v>0</v>
      </c>
      <c r="AX38" s="560">
        <v>0</v>
      </c>
      <c r="AY38" s="560">
        <v>0</v>
      </c>
      <c r="AZ38" s="560">
        <v>0</v>
      </c>
      <c r="BA38" s="560">
        <v>0</v>
      </c>
      <c r="BB38" s="560">
        <v>0</v>
      </c>
      <c r="BC38" s="560">
        <v>0</v>
      </c>
      <c r="BD38" s="560">
        <v>0</v>
      </c>
      <c r="BE38" s="560">
        <v>0</v>
      </c>
      <c r="BF38" s="579">
        <v>0</v>
      </c>
      <c r="BG38" s="559">
        <v>0</v>
      </c>
      <c r="BH38" s="560">
        <v>0</v>
      </c>
      <c r="BI38" s="560">
        <v>0</v>
      </c>
      <c r="BJ38" s="560">
        <v>0</v>
      </c>
      <c r="BK38" s="560">
        <v>0</v>
      </c>
      <c r="BL38" s="560">
        <v>0</v>
      </c>
      <c r="BM38" s="560">
        <v>0</v>
      </c>
      <c r="BN38" s="560">
        <v>0</v>
      </c>
      <c r="BO38" s="560">
        <v>0</v>
      </c>
      <c r="BP38" s="560">
        <v>0</v>
      </c>
      <c r="BQ38" s="560">
        <v>0</v>
      </c>
      <c r="BR38" s="560">
        <v>0</v>
      </c>
      <c r="BS38" s="579">
        <v>0</v>
      </c>
    </row>
    <row r="39" spans="1:71">
      <c r="A39" s="556"/>
      <c r="B39" s="550" t="s">
        <v>78</v>
      </c>
      <c r="C39" s="558" t="s">
        <v>343</v>
      </c>
      <c r="D39" s="559"/>
      <c r="E39" s="560"/>
      <c r="F39" s="560"/>
      <c r="G39" s="560"/>
      <c r="H39" s="560"/>
      <c r="I39" s="560"/>
      <c r="J39" s="560"/>
      <c r="K39" s="560"/>
      <c r="L39" s="560"/>
      <c r="M39" s="560"/>
      <c r="N39" s="560"/>
      <c r="O39" s="560"/>
      <c r="P39" s="560">
        <v>0</v>
      </c>
      <c r="Q39" s="579">
        <v>0</v>
      </c>
      <c r="R39" s="559">
        <v>0</v>
      </c>
      <c r="S39" s="560">
        <v>0</v>
      </c>
      <c r="T39" s="560">
        <v>0</v>
      </c>
      <c r="U39" s="560">
        <v>0</v>
      </c>
      <c r="V39" s="560">
        <v>0</v>
      </c>
      <c r="W39" s="560">
        <v>0</v>
      </c>
      <c r="X39" s="560">
        <v>0</v>
      </c>
      <c r="Y39" s="560">
        <v>0</v>
      </c>
      <c r="Z39" s="560">
        <v>0</v>
      </c>
      <c r="AA39" s="560">
        <v>0</v>
      </c>
      <c r="AB39" s="560">
        <v>0</v>
      </c>
      <c r="AC39" s="560">
        <v>0</v>
      </c>
      <c r="AD39" s="560">
        <v>0</v>
      </c>
      <c r="AE39" s="579">
        <v>0</v>
      </c>
      <c r="AF39" s="559">
        <v>0</v>
      </c>
      <c r="AG39" s="560">
        <v>0</v>
      </c>
      <c r="AH39" s="560">
        <v>0</v>
      </c>
      <c r="AI39" s="560">
        <v>0</v>
      </c>
      <c r="AJ39" s="560">
        <v>0</v>
      </c>
      <c r="AK39" s="560">
        <v>0</v>
      </c>
      <c r="AL39" s="560">
        <v>0</v>
      </c>
      <c r="AM39" s="560">
        <v>0</v>
      </c>
      <c r="AN39" s="560">
        <v>0</v>
      </c>
      <c r="AO39" s="560">
        <v>0</v>
      </c>
      <c r="AP39" s="560">
        <v>0</v>
      </c>
      <c r="AQ39" s="560">
        <v>0</v>
      </c>
      <c r="AR39" s="560">
        <v>0</v>
      </c>
      <c r="AS39" s="579">
        <v>0</v>
      </c>
      <c r="AT39" s="559">
        <v>0</v>
      </c>
      <c r="AU39" s="560">
        <v>0</v>
      </c>
      <c r="AV39" s="560">
        <v>0</v>
      </c>
      <c r="AW39" s="560">
        <v>0</v>
      </c>
      <c r="AX39" s="560">
        <v>0</v>
      </c>
      <c r="AY39" s="560">
        <v>0</v>
      </c>
      <c r="AZ39" s="560">
        <v>0</v>
      </c>
      <c r="BA39" s="560">
        <v>0</v>
      </c>
      <c r="BB39" s="560">
        <v>0</v>
      </c>
      <c r="BC39" s="560">
        <v>0</v>
      </c>
      <c r="BD39" s="560">
        <v>0</v>
      </c>
      <c r="BE39" s="560">
        <v>0</v>
      </c>
      <c r="BF39" s="579">
        <v>0</v>
      </c>
      <c r="BG39" s="559">
        <v>0</v>
      </c>
      <c r="BH39" s="560">
        <v>0</v>
      </c>
      <c r="BI39" s="560">
        <v>0</v>
      </c>
      <c r="BJ39" s="560">
        <v>0</v>
      </c>
      <c r="BK39" s="560">
        <v>0</v>
      </c>
      <c r="BL39" s="560">
        <v>0</v>
      </c>
      <c r="BM39" s="560">
        <v>0</v>
      </c>
      <c r="BN39" s="560">
        <v>0</v>
      </c>
      <c r="BO39" s="560">
        <v>0</v>
      </c>
      <c r="BP39" s="560">
        <v>0</v>
      </c>
      <c r="BQ39" s="560">
        <v>0</v>
      </c>
      <c r="BR39" s="560">
        <v>0</v>
      </c>
      <c r="BS39" s="579">
        <v>0</v>
      </c>
    </row>
    <row r="40" spans="1:71">
      <c r="A40" s="556"/>
      <c r="B40" s="587">
        <v>93.667000000000002</v>
      </c>
      <c r="C40" s="558" t="s">
        <v>81</v>
      </c>
      <c r="D40" s="559">
        <v>0</v>
      </c>
      <c r="E40" s="560">
        <v>2618939.8999999994</v>
      </c>
      <c r="F40" s="560">
        <v>2807579.1599999997</v>
      </c>
      <c r="G40" s="560">
        <v>2723888.62</v>
      </c>
      <c r="H40" s="560">
        <v>2758501.2100000004</v>
      </c>
      <c r="I40" s="560">
        <v>2818574.9100000006</v>
      </c>
      <c r="J40" s="560">
        <v>2778760.1599999997</v>
      </c>
      <c r="K40" s="560">
        <v>2735606.31</v>
      </c>
      <c r="L40" s="560">
        <v>67391.529999999984</v>
      </c>
      <c r="M40" s="560">
        <v>-289.74</v>
      </c>
      <c r="N40" s="560">
        <v>-98560.950000000186</v>
      </c>
      <c r="O40" s="560">
        <v>0</v>
      </c>
      <c r="P40" s="560">
        <v>-5885282.1100000031</v>
      </c>
      <c r="Q40" s="579">
        <v>13325109</v>
      </c>
      <c r="R40" s="559">
        <v>0</v>
      </c>
      <c r="S40" s="560">
        <v>3245143</v>
      </c>
      <c r="T40" s="560">
        <v>3428292</v>
      </c>
      <c r="U40" s="560">
        <v>3515708</v>
      </c>
      <c r="V40" s="560">
        <v>3488524</v>
      </c>
      <c r="W40" s="560">
        <v>17929</v>
      </c>
      <c r="X40" s="560">
        <v>1059</v>
      </c>
      <c r="Y40" s="560">
        <v>0</v>
      </c>
      <c r="Z40" s="560">
        <v>-1154</v>
      </c>
      <c r="AA40" s="560">
        <v>0</v>
      </c>
      <c r="AB40" s="560">
        <v>-267190.46999999695</v>
      </c>
      <c r="AC40" s="560">
        <v>-2145195</v>
      </c>
      <c r="AD40" s="560">
        <v>2054570.4699999969</v>
      </c>
      <c r="AE40" s="579">
        <v>13337686</v>
      </c>
      <c r="AF40" s="559">
        <v>0</v>
      </c>
      <c r="AG40" s="560">
        <v>3324369</v>
      </c>
      <c r="AH40" s="560">
        <v>3336405</v>
      </c>
      <c r="AI40" s="560">
        <v>3635155</v>
      </c>
      <c r="AJ40" s="560">
        <v>3312794</v>
      </c>
      <c r="AK40" s="560">
        <v>3267448</v>
      </c>
      <c r="AL40" s="560">
        <v>3129683.5600000015</v>
      </c>
      <c r="AM40" s="560">
        <v>-2462</v>
      </c>
      <c r="AN40" s="560">
        <v>-8463956</v>
      </c>
      <c r="AO40" s="560">
        <v>-35</v>
      </c>
      <c r="AP40" s="560">
        <v>-34971.380000002682</v>
      </c>
      <c r="AQ40" s="560">
        <v>-6844820.6300000008</v>
      </c>
      <c r="AR40" s="560">
        <v>8678076.450000003</v>
      </c>
      <c r="AS40" s="579">
        <v>13337686</v>
      </c>
      <c r="AT40" s="559">
        <v>0</v>
      </c>
      <c r="AU40" s="560">
        <v>3290824</v>
      </c>
      <c r="AV40" s="560">
        <v>3654830</v>
      </c>
      <c r="AW40" s="560">
        <v>3500541</v>
      </c>
      <c r="AX40" s="560">
        <v>3383909</v>
      </c>
      <c r="AY40" s="560">
        <v>3470958.37</v>
      </c>
      <c r="AZ40" s="560">
        <v>-660562.72833333339</v>
      </c>
      <c r="BA40" s="560">
        <v>-660562.72833333339</v>
      </c>
      <c r="BB40" s="560">
        <v>-660562.72833333339</v>
      </c>
      <c r="BC40" s="560">
        <v>-660562.72833333339</v>
      </c>
      <c r="BD40" s="560">
        <v>-660562.72833333339</v>
      </c>
      <c r="BE40" s="560">
        <v>-660562.72833333339</v>
      </c>
      <c r="BF40" s="579">
        <v>13337686</v>
      </c>
      <c r="BG40" s="559">
        <v>1111473.8333333333</v>
      </c>
      <c r="BH40" s="560">
        <v>1111473.8333333333</v>
      </c>
      <c r="BI40" s="560">
        <v>1111473.8333333333</v>
      </c>
      <c r="BJ40" s="560">
        <v>1111473.8333333333</v>
      </c>
      <c r="BK40" s="560">
        <v>1111473.8333333333</v>
      </c>
      <c r="BL40" s="560">
        <v>1111473.8333333333</v>
      </c>
      <c r="BM40" s="560">
        <v>1111473.8333333333</v>
      </c>
      <c r="BN40" s="560">
        <v>1111473.8333333333</v>
      </c>
      <c r="BO40" s="560">
        <v>1111473.8333333333</v>
      </c>
      <c r="BP40" s="560">
        <v>1111473.8333333333</v>
      </c>
      <c r="BQ40" s="560">
        <v>1111473.8333333333</v>
      </c>
      <c r="BR40" s="560">
        <v>1111473.8333333333</v>
      </c>
      <c r="BS40" s="579">
        <v>13337686</v>
      </c>
    </row>
    <row r="41" spans="1:71">
      <c r="A41" s="556"/>
      <c r="B41" s="587" t="s">
        <v>483</v>
      </c>
      <c r="C41" s="558" t="s">
        <v>485</v>
      </c>
      <c r="D41" s="559"/>
      <c r="E41" s="560"/>
      <c r="F41" s="560"/>
      <c r="G41" s="560"/>
      <c r="H41" s="560"/>
      <c r="I41" s="560"/>
      <c r="J41" s="560"/>
      <c r="K41" s="560"/>
      <c r="L41" s="560"/>
      <c r="M41" s="560"/>
      <c r="N41" s="560"/>
      <c r="O41" s="560"/>
      <c r="P41" s="560">
        <v>0</v>
      </c>
      <c r="Q41" s="579">
        <v>0</v>
      </c>
      <c r="R41" s="559">
        <v>0</v>
      </c>
      <c r="S41" s="560">
        <v>0</v>
      </c>
      <c r="T41" s="560">
        <v>0</v>
      </c>
      <c r="U41" s="560">
        <v>0</v>
      </c>
      <c r="V41" s="560">
        <v>0</v>
      </c>
      <c r="W41" s="560">
        <v>0</v>
      </c>
      <c r="X41" s="560">
        <v>0</v>
      </c>
      <c r="Y41" s="560">
        <v>0</v>
      </c>
      <c r="Z41" s="560">
        <v>0</v>
      </c>
      <c r="AA41" s="560">
        <v>0</v>
      </c>
      <c r="AB41" s="560">
        <v>0</v>
      </c>
      <c r="AC41" s="560">
        <v>0</v>
      </c>
      <c r="AD41" s="560">
        <v>0</v>
      </c>
      <c r="AE41" s="579">
        <v>0</v>
      </c>
      <c r="AF41" s="559">
        <v>0</v>
      </c>
      <c r="AG41" s="560">
        <v>0</v>
      </c>
      <c r="AH41" s="560">
        <v>0</v>
      </c>
      <c r="AI41" s="560">
        <v>0</v>
      </c>
      <c r="AJ41" s="560">
        <v>0</v>
      </c>
      <c r="AK41" s="560">
        <v>0</v>
      </c>
      <c r="AL41" s="560">
        <v>0</v>
      </c>
      <c r="AM41" s="560">
        <v>0</v>
      </c>
      <c r="AN41" s="560">
        <v>0</v>
      </c>
      <c r="AO41" s="560">
        <v>0</v>
      </c>
      <c r="AP41" s="560">
        <v>0</v>
      </c>
      <c r="AQ41" s="560">
        <v>0</v>
      </c>
      <c r="AR41" s="560">
        <v>1000000</v>
      </c>
      <c r="AS41" s="579">
        <v>1000000</v>
      </c>
      <c r="AT41" s="559">
        <v>0</v>
      </c>
      <c r="AU41" s="560">
        <v>0</v>
      </c>
      <c r="AV41" s="560">
        <v>0</v>
      </c>
      <c r="AW41" s="560">
        <v>7705</v>
      </c>
      <c r="AX41" s="560">
        <v>21695</v>
      </c>
      <c r="AY41" s="560">
        <v>70483.22</v>
      </c>
      <c r="AZ41" s="560">
        <v>764381.29666666675</v>
      </c>
      <c r="BA41" s="560">
        <v>764381.29666666675</v>
      </c>
      <c r="BB41" s="560">
        <v>764381.29666666675</v>
      </c>
      <c r="BC41" s="560">
        <v>764381.29666666675</v>
      </c>
      <c r="BD41" s="560">
        <v>764381.29666666675</v>
      </c>
      <c r="BE41" s="560">
        <v>764381.29666666675</v>
      </c>
      <c r="BF41" s="579">
        <v>4686171</v>
      </c>
      <c r="BG41" s="559">
        <v>0</v>
      </c>
      <c r="BH41" s="560">
        <v>0</v>
      </c>
      <c r="BI41" s="560">
        <v>0</v>
      </c>
      <c r="BJ41" s="560">
        <v>0</v>
      </c>
      <c r="BK41" s="560">
        <v>0</v>
      </c>
      <c r="BL41" s="560">
        <v>0</v>
      </c>
      <c r="BM41" s="560">
        <v>0</v>
      </c>
      <c r="BN41" s="560">
        <v>0</v>
      </c>
      <c r="BO41" s="560">
        <v>0</v>
      </c>
      <c r="BP41" s="560">
        <v>0</v>
      </c>
      <c r="BQ41" s="560">
        <v>0</v>
      </c>
      <c r="BR41" s="560">
        <v>0</v>
      </c>
      <c r="BS41" s="579">
        <v>0</v>
      </c>
    </row>
    <row r="42" spans="1:71" ht="15" customHeight="1">
      <c r="A42" s="556"/>
      <c r="B42" s="550" t="s">
        <v>125</v>
      </c>
      <c r="C42" s="558" t="s">
        <v>112</v>
      </c>
      <c r="D42" s="559">
        <v>91791.760000000009</v>
      </c>
      <c r="E42" s="560">
        <v>101117.52000000002</v>
      </c>
      <c r="F42" s="560">
        <v>107195.89000000001</v>
      </c>
      <c r="G42" s="560">
        <v>103863.15</v>
      </c>
      <c r="H42" s="560">
        <v>104219.66000000002</v>
      </c>
      <c r="I42" s="560">
        <v>109513.35000000002</v>
      </c>
      <c r="J42" s="560">
        <v>104994.45000000001</v>
      </c>
      <c r="K42" s="560">
        <v>105220.13999999997</v>
      </c>
      <c r="L42" s="560">
        <v>226272.61000000004</v>
      </c>
      <c r="M42" s="560">
        <v>106100.65</v>
      </c>
      <c r="N42" s="560">
        <v>96455.26999999996</v>
      </c>
      <c r="O42" s="560">
        <v>152876.85</v>
      </c>
      <c r="P42" s="560">
        <v>119469.69999999995</v>
      </c>
      <c r="Q42" s="579">
        <v>1529091</v>
      </c>
      <c r="R42" s="559">
        <v>104413.34999999999</v>
      </c>
      <c r="S42" s="560">
        <v>101101</v>
      </c>
      <c r="T42" s="560">
        <v>90173</v>
      </c>
      <c r="U42" s="560">
        <v>106825</v>
      </c>
      <c r="V42" s="560">
        <v>107720</v>
      </c>
      <c r="W42" s="560">
        <v>190350</v>
      </c>
      <c r="X42" s="560">
        <v>125208</v>
      </c>
      <c r="Y42" s="560">
        <v>135848</v>
      </c>
      <c r="Z42" s="560">
        <v>96201</v>
      </c>
      <c r="AA42" s="560">
        <v>136186</v>
      </c>
      <c r="AB42" s="560">
        <v>134056.94000000015</v>
      </c>
      <c r="AC42" s="560">
        <v>123898</v>
      </c>
      <c r="AD42" s="560">
        <v>31716.709999999759</v>
      </c>
      <c r="AE42" s="579">
        <v>1483697</v>
      </c>
      <c r="AF42" s="559">
        <v>106066</v>
      </c>
      <c r="AG42" s="560">
        <v>107438</v>
      </c>
      <c r="AH42" s="560">
        <v>106161</v>
      </c>
      <c r="AI42" s="560">
        <v>114635</v>
      </c>
      <c r="AJ42" s="560">
        <v>107844</v>
      </c>
      <c r="AK42" s="560">
        <v>109897</v>
      </c>
      <c r="AL42" s="560">
        <v>153301.52999999994</v>
      </c>
      <c r="AM42" s="560">
        <v>108285</v>
      </c>
      <c r="AN42" s="560">
        <v>260589</v>
      </c>
      <c r="AO42" s="560">
        <v>145747</v>
      </c>
      <c r="AP42" s="560">
        <v>133548.05000000005</v>
      </c>
      <c r="AQ42" s="560">
        <v>110734.95000000001</v>
      </c>
      <c r="AR42" s="560">
        <v>33183.47000000003</v>
      </c>
      <c r="AS42" s="579">
        <v>1597430</v>
      </c>
      <c r="AT42" s="559">
        <v>105489</v>
      </c>
      <c r="AU42" s="560">
        <v>114953</v>
      </c>
      <c r="AV42" s="560">
        <v>119088</v>
      </c>
      <c r="AW42" s="560">
        <v>107903</v>
      </c>
      <c r="AX42" s="560">
        <v>115860</v>
      </c>
      <c r="AY42" s="560">
        <v>119335.03000000001</v>
      </c>
      <c r="AZ42" s="560">
        <v>169416.66166666665</v>
      </c>
      <c r="BA42" s="560">
        <v>169416.66166666665</v>
      </c>
      <c r="BB42" s="560">
        <v>169416.66166666665</v>
      </c>
      <c r="BC42" s="560">
        <v>169416.66166666665</v>
      </c>
      <c r="BD42" s="560">
        <v>169416.66166666665</v>
      </c>
      <c r="BE42" s="560">
        <v>169416.66166666665</v>
      </c>
      <c r="BF42" s="579">
        <v>1699128</v>
      </c>
      <c r="BG42" s="559">
        <v>117604</v>
      </c>
      <c r="BH42" s="560">
        <v>117604</v>
      </c>
      <c r="BI42" s="560">
        <v>117604</v>
      </c>
      <c r="BJ42" s="560">
        <v>117604</v>
      </c>
      <c r="BK42" s="560">
        <v>117604</v>
      </c>
      <c r="BL42" s="560">
        <v>117604</v>
      </c>
      <c r="BM42" s="560">
        <v>117604</v>
      </c>
      <c r="BN42" s="560">
        <v>117604</v>
      </c>
      <c r="BO42" s="560">
        <v>117604</v>
      </c>
      <c r="BP42" s="560">
        <v>117604</v>
      </c>
      <c r="BQ42" s="560">
        <v>117604</v>
      </c>
      <c r="BR42" s="560">
        <v>117604</v>
      </c>
      <c r="BS42" s="579">
        <v>1411248</v>
      </c>
    </row>
    <row r="43" spans="1:71" s="586" customFormat="1">
      <c r="A43" s="580" t="s">
        <v>344</v>
      </c>
      <c r="B43" s="581"/>
      <c r="C43" s="582"/>
      <c r="D43" s="583">
        <v>91791.760000000009</v>
      </c>
      <c r="E43" s="584">
        <v>2720057.4199999995</v>
      </c>
      <c r="F43" s="584">
        <v>2914775.05</v>
      </c>
      <c r="G43" s="584">
        <v>2827751.77</v>
      </c>
      <c r="H43" s="584">
        <v>2862720.8700000006</v>
      </c>
      <c r="I43" s="584">
        <v>2928088.2600000007</v>
      </c>
      <c r="J43" s="584">
        <v>2883754.61</v>
      </c>
      <c r="K43" s="584">
        <v>2840826.45</v>
      </c>
      <c r="L43" s="584">
        <v>293664.14</v>
      </c>
      <c r="M43" s="584">
        <v>105810.90999999999</v>
      </c>
      <c r="N43" s="584">
        <v>-2105.6800000002258</v>
      </c>
      <c r="O43" s="584">
        <v>152876.85</v>
      </c>
      <c r="P43" s="584">
        <v>-5765812.4100000039</v>
      </c>
      <c r="Q43" s="585">
        <v>14854200</v>
      </c>
      <c r="R43" s="583">
        <v>104413.34999999999</v>
      </c>
      <c r="S43" s="583">
        <v>3346244</v>
      </c>
      <c r="T43" s="584">
        <v>3518465</v>
      </c>
      <c r="U43" s="584">
        <v>3622533</v>
      </c>
      <c r="V43" s="584">
        <v>3596244</v>
      </c>
      <c r="W43" s="584">
        <v>208279</v>
      </c>
      <c r="X43" s="584">
        <v>126267</v>
      </c>
      <c r="Y43" s="584">
        <v>135848</v>
      </c>
      <c r="Z43" s="584">
        <v>95047</v>
      </c>
      <c r="AA43" s="584">
        <v>136186</v>
      </c>
      <c r="AB43" s="584">
        <v>-133133.5299999968</v>
      </c>
      <c r="AC43" s="584">
        <v>-2021297</v>
      </c>
      <c r="AD43" s="584">
        <v>12386464.179999996</v>
      </c>
      <c r="AE43" s="585">
        <v>25121560</v>
      </c>
      <c r="AF43" s="583">
        <v>106066</v>
      </c>
      <c r="AG43" s="584">
        <v>3431807</v>
      </c>
      <c r="AH43" s="584">
        <v>3442566</v>
      </c>
      <c r="AI43" s="584">
        <v>3749790</v>
      </c>
      <c r="AJ43" s="584">
        <v>3420638</v>
      </c>
      <c r="AK43" s="584">
        <v>3377345</v>
      </c>
      <c r="AL43" s="584">
        <v>3282985.0900000012</v>
      </c>
      <c r="AM43" s="584">
        <v>105823</v>
      </c>
      <c r="AN43" s="584">
        <v>-8203367</v>
      </c>
      <c r="AO43" s="584">
        <v>145712</v>
      </c>
      <c r="AP43" s="584">
        <v>98576.669999997364</v>
      </c>
      <c r="AQ43" s="584">
        <v>-322259.90000000055</v>
      </c>
      <c r="AR43" s="584">
        <v>9711260.1400000006</v>
      </c>
      <c r="AS43" s="585">
        <v>22346942</v>
      </c>
      <c r="AT43" s="583">
        <v>105489</v>
      </c>
      <c r="AU43" s="584">
        <v>3640442.6363636362</v>
      </c>
      <c r="AV43" s="584">
        <v>4008583.6363636362</v>
      </c>
      <c r="AW43" s="584">
        <v>3850814.6363636362</v>
      </c>
      <c r="AX43" s="584">
        <v>3756129.6363636362</v>
      </c>
      <c r="AY43" s="584">
        <v>3895442.2563636363</v>
      </c>
      <c r="AZ43" s="584">
        <v>507900.86636363616</v>
      </c>
      <c r="BA43" s="584">
        <v>507900.86636363616</v>
      </c>
      <c r="BB43" s="584">
        <v>507900.86636363616</v>
      </c>
      <c r="BC43" s="584">
        <v>507900.86636363616</v>
      </c>
      <c r="BD43" s="584">
        <v>507900.86636363616</v>
      </c>
      <c r="BE43" s="584">
        <v>507900.86636363616</v>
      </c>
      <c r="BF43" s="585">
        <v>22304307</v>
      </c>
      <c r="BG43" s="583">
        <v>1229077.8333333333</v>
      </c>
      <c r="BH43" s="584">
        <v>1229077.8333333333</v>
      </c>
      <c r="BI43" s="584">
        <v>1229077.8333333333</v>
      </c>
      <c r="BJ43" s="584">
        <v>1229077.8333333333</v>
      </c>
      <c r="BK43" s="584">
        <v>1229077.8333333333</v>
      </c>
      <c r="BL43" s="584">
        <v>1229077.8333333333</v>
      </c>
      <c r="BM43" s="584">
        <v>1229077.8333333333</v>
      </c>
      <c r="BN43" s="584">
        <v>1229077.8333333333</v>
      </c>
      <c r="BO43" s="584">
        <v>1229077.8333333333</v>
      </c>
      <c r="BP43" s="584">
        <v>1229077.8333333333</v>
      </c>
      <c r="BQ43" s="584">
        <v>1229077.8333333333</v>
      </c>
      <c r="BR43" s="584">
        <v>1229077.8333333333</v>
      </c>
      <c r="BS43" s="585">
        <v>14748934</v>
      </c>
    </row>
    <row r="44" spans="1:71" ht="15" customHeight="1">
      <c r="A44" s="556" t="s">
        <v>34</v>
      </c>
      <c r="B44" s="616" t="s">
        <v>89</v>
      </c>
      <c r="C44" s="558" t="s">
        <v>88</v>
      </c>
      <c r="D44" s="559">
        <v>4559.7299999999996</v>
      </c>
      <c r="E44" s="560">
        <v>4131.3599999999997</v>
      </c>
      <c r="F44" s="560">
        <v>4131.3599999999997</v>
      </c>
      <c r="G44" s="560">
        <v>4131.3599999999997</v>
      </c>
      <c r="H44" s="560">
        <v>4151.3599999999997</v>
      </c>
      <c r="I44" s="560">
        <v>4151.3599999999997</v>
      </c>
      <c r="J44" s="560">
        <v>6113.45</v>
      </c>
      <c r="K44" s="560">
        <v>4151.3599999999997</v>
      </c>
      <c r="L44" s="560">
        <v>6063.16</v>
      </c>
      <c r="M44" s="560">
        <v>4151.3599999999997</v>
      </c>
      <c r="N44" s="560">
        <v>4151.3599999999997</v>
      </c>
      <c r="O44" s="560">
        <v>6904.83</v>
      </c>
      <c r="P44" s="560"/>
      <c r="Q44" s="579">
        <v>57808</v>
      </c>
      <c r="R44" s="559">
        <v>4912.6099999999997</v>
      </c>
      <c r="S44" s="560">
        <v>4913</v>
      </c>
      <c r="T44" s="560">
        <v>4913</v>
      </c>
      <c r="U44" s="560">
        <v>5505</v>
      </c>
      <c r="V44" s="560">
        <v>5175</v>
      </c>
      <c r="W44" s="560">
        <v>4913</v>
      </c>
      <c r="X44" s="560">
        <v>5067</v>
      </c>
      <c r="Y44" s="560">
        <v>5913</v>
      </c>
      <c r="Z44" s="560">
        <v>4913</v>
      </c>
      <c r="AA44" s="560">
        <v>4913</v>
      </c>
      <c r="AB44" s="560">
        <v>4913</v>
      </c>
      <c r="AC44" s="560">
        <v>4913</v>
      </c>
      <c r="AD44" s="560">
        <v>19040.39</v>
      </c>
      <c r="AE44" s="579">
        <v>80004</v>
      </c>
      <c r="AF44" s="559">
        <v>273</v>
      </c>
      <c r="AG44" s="560">
        <v>5125</v>
      </c>
      <c r="AH44" s="560">
        <v>5077</v>
      </c>
      <c r="AI44" s="560">
        <v>9968</v>
      </c>
      <c r="AJ44" s="560">
        <v>5065</v>
      </c>
      <c r="AK44" s="560">
        <v>5360</v>
      </c>
      <c r="AL44" s="560">
        <v>5150</v>
      </c>
      <c r="AM44" s="560">
        <v>5110</v>
      </c>
      <c r="AN44" s="560">
        <v>11757</v>
      </c>
      <c r="AO44" s="560">
        <v>7851</v>
      </c>
      <c r="AP44" s="560">
        <v>5263.71</v>
      </c>
      <c r="AQ44" s="560">
        <v>5162</v>
      </c>
      <c r="AR44" s="560">
        <v>7259.2900000000009</v>
      </c>
      <c r="AS44" s="579">
        <v>78421</v>
      </c>
      <c r="AT44" s="559">
        <v>154</v>
      </c>
      <c r="AU44" s="560">
        <v>281</v>
      </c>
      <c r="AV44" s="560">
        <v>0</v>
      </c>
      <c r="AW44" s="560">
        <v>230</v>
      </c>
      <c r="AX44" s="560">
        <v>270</v>
      </c>
      <c r="AY44" s="560">
        <v>280.58000000000004</v>
      </c>
      <c r="AZ44" s="560">
        <v>-202.59666666666666</v>
      </c>
      <c r="BA44" s="560">
        <v>-202.59666666666666</v>
      </c>
      <c r="BB44" s="560">
        <v>-202.59666666666666</v>
      </c>
      <c r="BC44" s="560">
        <v>-202.59666666666666</v>
      </c>
      <c r="BD44" s="560">
        <v>-202.59666666666666</v>
      </c>
      <c r="BE44" s="560">
        <v>-202.59666666666666</v>
      </c>
      <c r="BF44" s="579">
        <v>0</v>
      </c>
      <c r="BG44" s="559">
        <v>0</v>
      </c>
      <c r="BH44" s="560">
        <v>0</v>
      </c>
      <c r="BI44" s="560">
        <v>0</v>
      </c>
      <c r="BJ44" s="560">
        <v>0</v>
      </c>
      <c r="BK44" s="560">
        <v>0</v>
      </c>
      <c r="BL44" s="560">
        <v>0</v>
      </c>
      <c r="BM44" s="560">
        <v>0</v>
      </c>
      <c r="BN44" s="560">
        <v>0</v>
      </c>
      <c r="BO44" s="560">
        <v>0</v>
      </c>
      <c r="BP44" s="560">
        <v>0</v>
      </c>
      <c r="BQ44" s="560">
        <v>0</v>
      </c>
      <c r="BR44" s="560">
        <v>0</v>
      </c>
      <c r="BS44" s="579">
        <v>0</v>
      </c>
    </row>
    <row r="45" spans="1:71" ht="15" customHeight="1">
      <c r="A45" s="556"/>
      <c r="B45" s="616" t="s">
        <v>87</v>
      </c>
      <c r="C45" s="558" t="s">
        <v>86</v>
      </c>
      <c r="D45" s="559">
        <v>0</v>
      </c>
      <c r="E45" s="560">
        <v>0</v>
      </c>
      <c r="F45" s="560">
        <v>0</v>
      </c>
      <c r="G45" s="560">
        <v>0</v>
      </c>
      <c r="H45" s="560">
        <v>0</v>
      </c>
      <c r="I45" s="560">
        <v>0</v>
      </c>
      <c r="J45" s="560">
        <v>0</v>
      </c>
      <c r="K45" s="560">
        <v>0</v>
      </c>
      <c r="L45" s="560">
        <v>0</v>
      </c>
      <c r="M45" s="560">
        <v>0</v>
      </c>
      <c r="N45" s="560">
        <v>0</v>
      </c>
      <c r="O45" s="560">
        <v>0</v>
      </c>
      <c r="P45" s="560"/>
      <c r="Q45" s="579">
        <v>0</v>
      </c>
      <c r="R45" s="559">
        <v>0</v>
      </c>
      <c r="S45" s="560">
        <v>0</v>
      </c>
      <c r="T45" s="560">
        <v>0</v>
      </c>
      <c r="U45" s="560">
        <v>0</v>
      </c>
      <c r="V45" s="560">
        <v>0</v>
      </c>
      <c r="W45" s="560">
        <v>0</v>
      </c>
      <c r="X45" s="560">
        <v>0</v>
      </c>
      <c r="Y45" s="560">
        <v>0</v>
      </c>
      <c r="Z45" s="560">
        <v>0</v>
      </c>
      <c r="AA45" s="560">
        <v>0</v>
      </c>
      <c r="AB45" s="560">
        <v>0</v>
      </c>
      <c r="AC45" s="560">
        <v>0</v>
      </c>
      <c r="AD45" s="560">
        <v>0</v>
      </c>
      <c r="AE45" s="579">
        <v>0</v>
      </c>
      <c r="AF45" s="559">
        <v>0</v>
      </c>
      <c r="AG45" s="560">
        <v>0</v>
      </c>
      <c r="AH45" s="560">
        <v>0</v>
      </c>
      <c r="AI45" s="560">
        <v>0</v>
      </c>
      <c r="AJ45" s="560">
        <v>0</v>
      </c>
      <c r="AK45" s="560">
        <v>0</v>
      </c>
      <c r="AL45" s="560">
        <v>0</v>
      </c>
      <c r="AM45" s="560">
        <v>0</v>
      </c>
      <c r="AN45" s="560">
        <v>0</v>
      </c>
      <c r="AO45" s="560">
        <v>0</v>
      </c>
      <c r="AP45" s="560">
        <v>0</v>
      </c>
      <c r="AQ45" s="560">
        <v>0</v>
      </c>
      <c r="AR45" s="560">
        <v>0</v>
      </c>
      <c r="AS45" s="579">
        <v>0</v>
      </c>
      <c r="AT45" s="559">
        <v>4933</v>
      </c>
      <c r="AU45" s="560">
        <v>4933</v>
      </c>
      <c r="AV45" s="560">
        <v>4933</v>
      </c>
      <c r="AW45" s="560">
        <v>5589</v>
      </c>
      <c r="AX45" s="560">
        <v>4933</v>
      </c>
      <c r="AY45" s="560">
        <v>4932.6099999999997</v>
      </c>
      <c r="AZ45" s="560">
        <v>8804.8983333333326</v>
      </c>
      <c r="BA45" s="560">
        <v>8804.8983333333326</v>
      </c>
      <c r="BB45" s="560">
        <v>8804.8983333333326</v>
      </c>
      <c r="BC45" s="560">
        <v>8804.8983333333326</v>
      </c>
      <c r="BD45" s="560">
        <v>8804.8983333333326</v>
      </c>
      <c r="BE45" s="560">
        <v>8804.8983333333326</v>
      </c>
      <c r="BF45" s="579">
        <v>83083</v>
      </c>
      <c r="BG45" s="559">
        <v>7450.75</v>
      </c>
      <c r="BH45" s="560">
        <v>7450.75</v>
      </c>
      <c r="BI45" s="560">
        <v>7450.75</v>
      </c>
      <c r="BJ45" s="560">
        <v>7450.75</v>
      </c>
      <c r="BK45" s="560">
        <v>7450.75</v>
      </c>
      <c r="BL45" s="560">
        <v>7450.75</v>
      </c>
      <c r="BM45" s="560">
        <v>7450.75</v>
      </c>
      <c r="BN45" s="560">
        <v>7450.75</v>
      </c>
      <c r="BO45" s="560">
        <v>7450.75</v>
      </c>
      <c r="BP45" s="560">
        <v>7450.75</v>
      </c>
      <c r="BQ45" s="560">
        <v>7450.75</v>
      </c>
      <c r="BR45" s="560">
        <v>7450.75</v>
      </c>
      <c r="BS45" s="579">
        <v>89409</v>
      </c>
    </row>
    <row r="46" spans="1:71" s="541" customFormat="1" ht="15" customHeight="1">
      <c r="A46" s="556" t="s">
        <v>345</v>
      </c>
      <c r="B46" s="550"/>
      <c r="C46" s="558"/>
      <c r="D46" s="588">
        <v>4559.7299999999996</v>
      </c>
      <c r="E46" s="589">
        <v>4131.3599999999997</v>
      </c>
      <c r="F46" s="589">
        <v>4131.3599999999997</v>
      </c>
      <c r="G46" s="589">
        <v>4131.3599999999997</v>
      </c>
      <c r="H46" s="589">
        <v>4151.3599999999997</v>
      </c>
      <c r="I46" s="589">
        <v>4151.3599999999997</v>
      </c>
      <c r="J46" s="589">
        <v>6113.45</v>
      </c>
      <c r="K46" s="589">
        <v>4151.3599999999997</v>
      </c>
      <c r="L46" s="589">
        <v>6063.16</v>
      </c>
      <c r="M46" s="589">
        <v>4151.3599999999997</v>
      </c>
      <c r="N46" s="589">
        <v>4151.3599999999997</v>
      </c>
      <c r="O46" s="589">
        <v>6904.83</v>
      </c>
      <c r="P46" s="589">
        <v>0</v>
      </c>
      <c r="Q46" s="579">
        <v>57808</v>
      </c>
      <c r="R46" s="559">
        <v>4912.6099999999997</v>
      </c>
      <c r="S46" s="560">
        <v>4913</v>
      </c>
      <c r="T46" s="560">
        <v>4913</v>
      </c>
      <c r="U46" s="560">
        <v>5505</v>
      </c>
      <c r="V46" s="560">
        <v>5175</v>
      </c>
      <c r="W46" s="560">
        <v>4913</v>
      </c>
      <c r="X46" s="560">
        <v>5067</v>
      </c>
      <c r="Y46" s="560">
        <v>5913</v>
      </c>
      <c r="Z46" s="560">
        <v>4913</v>
      </c>
      <c r="AA46" s="560">
        <v>4913</v>
      </c>
      <c r="AB46" s="560">
        <v>4913</v>
      </c>
      <c r="AC46" s="560">
        <v>4913</v>
      </c>
      <c r="AD46" s="589">
        <v>19040.39</v>
      </c>
      <c r="AE46" s="579">
        <v>80004</v>
      </c>
      <c r="AF46" s="588">
        <v>273</v>
      </c>
      <c r="AG46" s="589">
        <v>5125</v>
      </c>
      <c r="AH46" s="589">
        <v>5077</v>
      </c>
      <c r="AI46" s="589">
        <v>9968</v>
      </c>
      <c r="AJ46" s="589">
        <v>5065</v>
      </c>
      <c r="AK46" s="589">
        <v>5360</v>
      </c>
      <c r="AL46" s="589">
        <v>5150</v>
      </c>
      <c r="AM46" s="589">
        <v>5110</v>
      </c>
      <c r="AN46" s="589">
        <v>11757</v>
      </c>
      <c r="AO46" s="589">
        <v>7851</v>
      </c>
      <c r="AP46" s="589">
        <v>5263.71</v>
      </c>
      <c r="AQ46" s="589">
        <v>5162</v>
      </c>
      <c r="AR46" s="589">
        <v>7259.2900000000009</v>
      </c>
      <c r="AS46" s="579">
        <v>78421</v>
      </c>
      <c r="AT46" s="588">
        <v>5087</v>
      </c>
      <c r="AU46" s="589">
        <v>5214</v>
      </c>
      <c r="AV46" s="589">
        <v>4933</v>
      </c>
      <c r="AW46" s="589">
        <v>5819</v>
      </c>
      <c r="AX46" s="589">
        <v>5203</v>
      </c>
      <c r="AY46" s="589">
        <v>5213.1899999999996</v>
      </c>
      <c r="AZ46" s="589">
        <v>8602.3016666666663</v>
      </c>
      <c r="BA46" s="589">
        <v>8602.3016666666663</v>
      </c>
      <c r="BB46" s="589">
        <v>8602.3016666666663</v>
      </c>
      <c r="BC46" s="589">
        <v>8602.3016666666663</v>
      </c>
      <c r="BD46" s="589">
        <v>8602.3016666666663</v>
      </c>
      <c r="BE46" s="589">
        <v>8602.3016666666663</v>
      </c>
      <c r="BF46" s="579">
        <v>83083</v>
      </c>
      <c r="BG46" s="588">
        <v>7450.75</v>
      </c>
      <c r="BH46" s="589">
        <v>7450.75</v>
      </c>
      <c r="BI46" s="589">
        <v>7450.75</v>
      </c>
      <c r="BJ46" s="589">
        <v>7450.75</v>
      </c>
      <c r="BK46" s="589">
        <v>7450.75</v>
      </c>
      <c r="BL46" s="589">
        <v>7450.75</v>
      </c>
      <c r="BM46" s="589">
        <v>7450.75</v>
      </c>
      <c r="BN46" s="589">
        <v>7450.75</v>
      </c>
      <c r="BO46" s="589">
        <v>7450.75</v>
      </c>
      <c r="BP46" s="589">
        <v>7450.75</v>
      </c>
      <c r="BQ46" s="589">
        <v>7450.75</v>
      </c>
      <c r="BR46" s="589">
        <v>7450.75</v>
      </c>
      <c r="BS46" s="579">
        <v>89409</v>
      </c>
    </row>
    <row r="47" spans="1:71" s="541" customFormat="1" ht="16.8" thickBot="1">
      <c r="A47" s="590" t="s">
        <v>152</v>
      </c>
      <c r="B47" s="567"/>
      <c r="C47" s="568"/>
      <c r="D47" s="591">
        <v>2738421.3199999994</v>
      </c>
      <c r="E47" s="591">
        <v>3012119.7399999993</v>
      </c>
      <c r="F47" s="591">
        <v>3195263.36</v>
      </c>
      <c r="G47" s="591">
        <v>3096996.9699999997</v>
      </c>
      <c r="H47" s="591">
        <v>3104629.8800000004</v>
      </c>
      <c r="I47" s="591">
        <v>3264203.3900000006</v>
      </c>
      <c r="J47" s="591">
        <v>3130960.77</v>
      </c>
      <c r="K47" s="591">
        <v>3136293.98</v>
      </c>
      <c r="L47" s="591">
        <v>7008479.7700000023</v>
      </c>
      <c r="M47" s="591">
        <v>3166577.5100000002</v>
      </c>
      <c r="N47" s="591">
        <v>4521472.1099999994</v>
      </c>
      <c r="O47" s="591">
        <v>4556751.4999999981</v>
      </c>
      <c r="P47" s="591">
        <v>1571547.700000003</v>
      </c>
      <c r="Q47" s="592">
        <v>45503718</v>
      </c>
      <c r="R47" s="591">
        <v>3827123.8400000003</v>
      </c>
      <c r="S47" s="591">
        <v>3699961</v>
      </c>
      <c r="T47" s="591">
        <v>3301283</v>
      </c>
      <c r="U47" s="591">
        <v>3913263</v>
      </c>
      <c r="V47" s="591">
        <v>3943826</v>
      </c>
      <c r="W47" s="591">
        <v>6957616</v>
      </c>
      <c r="X47" s="591">
        <v>4583645</v>
      </c>
      <c r="Y47" s="591">
        <v>4969046</v>
      </c>
      <c r="Z47" s="591">
        <v>3778234.850000001</v>
      </c>
      <c r="AA47" s="591">
        <v>4983541</v>
      </c>
      <c r="AB47" s="591">
        <v>4466509.9600000037</v>
      </c>
      <c r="AC47" s="591">
        <v>4532868</v>
      </c>
      <c r="AD47" s="591">
        <v>1324422.7179399962</v>
      </c>
      <c r="AE47" s="592">
        <v>54249116</v>
      </c>
      <c r="AF47" s="591">
        <v>3719615.0100000007</v>
      </c>
      <c r="AG47" s="591">
        <v>3771418.79</v>
      </c>
      <c r="AH47" s="591">
        <v>3726769.92</v>
      </c>
      <c r="AI47" s="591">
        <v>4027263.25</v>
      </c>
      <c r="AJ47" s="591">
        <v>3675366.68</v>
      </c>
      <c r="AK47" s="591">
        <v>3863576.82</v>
      </c>
      <c r="AL47" s="591">
        <v>3739896.9800000014</v>
      </c>
      <c r="AM47" s="591">
        <v>3805918.3099999991</v>
      </c>
      <c r="AN47" s="591">
        <v>9138253.8800000027</v>
      </c>
      <c r="AO47" s="591">
        <v>5119634</v>
      </c>
      <c r="AP47" s="591">
        <v>4086905.9699999969</v>
      </c>
      <c r="AQ47" s="591">
        <v>3892954.6899999995</v>
      </c>
      <c r="AR47" s="591">
        <v>4482234.700000003</v>
      </c>
      <c r="AS47" s="592">
        <v>57049809</v>
      </c>
      <c r="AT47" s="591">
        <v>3513769</v>
      </c>
      <c r="AU47" s="591">
        <v>4059621.5363636361</v>
      </c>
      <c r="AV47" s="591">
        <v>4193651.6363636362</v>
      </c>
      <c r="AW47" s="591">
        <v>4203774.6363636367</v>
      </c>
      <c r="AX47" s="591">
        <v>4111713.6363636362</v>
      </c>
      <c r="AY47" s="591">
        <v>4274137.3263636371</v>
      </c>
      <c r="AZ47" s="591">
        <v>6122942.8713636361</v>
      </c>
      <c r="BA47" s="591">
        <v>6122942.8713636361</v>
      </c>
      <c r="BB47" s="591">
        <v>6122942.8713636361</v>
      </c>
      <c r="BC47" s="591">
        <v>6122942.8713636361</v>
      </c>
      <c r="BD47" s="591">
        <v>6122942.8713636361</v>
      </c>
      <c r="BE47" s="591">
        <v>6122942.8713636361</v>
      </c>
      <c r="BF47" s="592">
        <v>61094325</v>
      </c>
      <c r="BG47" s="591">
        <v>4677216.666666667</v>
      </c>
      <c r="BH47" s="591">
        <v>4677216.666666667</v>
      </c>
      <c r="BI47" s="591">
        <v>4677216.666666667</v>
      </c>
      <c r="BJ47" s="591">
        <v>4677216.666666667</v>
      </c>
      <c r="BK47" s="591">
        <v>4677216.666666667</v>
      </c>
      <c r="BL47" s="591">
        <v>4677216.666666667</v>
      </c>
      <c r="BM47" s="591">
        <v>4677216.666666667</v>
      </c>
      <c r="BN47" s="591">
        <v>4677216.666666667</v>
      </c>
      <c r="BO47" s="591">
        <v>4677216.666666667</v>
      </c>
      <c r="BP47" s="591">
        <v>4677216.666666667</v>
      </c>
      <c r="BQ47" s="591">
        <v>4677216.666666667</v>
      </c>
      <c r="BR47" s="591">
        <v>4677216.666666667</v>
      </c>
      <c r="BS47" s="592">
        <v>56126600</v>
      </c>
    </row>
    <row r="48" spans="1:71" ht="19.95" customHeight="1">
      <c r="C48" s="556"/>
      <c r="D48" s="593"/>
      <c r="E48" s="594"/>
      <c r="F48" s="594"/>
      <c r="G48" s="594"/>
      <c r="H48" s="594"/>
      <c r="I48" s="594"/>
      <c r="J48" s="594"/>
      <c r="K48" s="594"/>
      <c r="L48" s="594"/>
      <c r="M48" s="594"/>
      <c r="N48" s="594"/>
      <c r="O48" s="594"/>
      <c r="P48" s="594"/>
      <c r="Q48" s="595"/>
      <c r="R48" s="593"/>
      <c r="S48" s="594"/>
      <c r="T48" s="594"/>
      <c r="U48" s="594"/>
      <c r="V48" s="594"/>
      <c r="W48" s="594"/>
      <c r="X48" s="594"/>
      <c r="Y48" s="594"/>
      <c r="Z48" s="594"/>
      <c r="AA48" s="594"/>
      <c r="AB48" s="594"/>
      <c r="AC48" s="594"/>
      <c r="AD48" s="594"/>
      <c r="AE48" s="595"/>
      <c r="AF48" s="593"/>
      <c r="AG48" s="594"/>
      <c r="AH48" s="594"/>
      <c r="AI48" s="594"/>
      <c r="AJ48" s="594"/>
      <c r="AK48" s="594"/>
      <c r="AL48" s="594"/>
      <c r="AM48" s="594"/>
      <c r="AN48" s="594"/>
      <c r="AO48" s="594"/>
      <c r="AP48" s="594"/>
      <c r="AQ48" s="594"/>
      <c r="AR48" s="594"/>
      <c r="AS48" s="595"/>
      <c r="AT48" s="593"/>
      <c r="AU48" s="594"/>
      <c r="AV48" s="594"/>
      <c r="AW48" s="594"/>
      <c r="AX48" s="594"/>
      <c r="AY48" s="594"/>
      <c r="AZ48" s="594"/>
      <c r="BA48" s="594"/>
      <c r="BB48" s="594"/>
      <c r="BC48" s="594"/>
      <c r="BD48" s="594"/>
      <c r="BE48" s="594"/>
      <c r="BF48" s="595"/>
      <c r="BG48" s="593"/>
      <c r="BH48" s="594"/>
      <c r="BI48" s="594"/>
      <c r="BJ48" s="594"/>
      <c r="BK48" s="594"/>
      <c r="BL48" s="594"/>
      <c r="BM48" s="594"/>
      <c r="BN48" s="594"/>
      <c r="BO48" s="594"/>
      <c r="BP48" s="594"/>
      <c r="BQ48" s="594"/>
      <c r="BR48" s="594"/>
      <c r="BS48" s="595"/>
    </row>
    <row r="49" spans="3:71" s="596" customFormat="1">
      <c r="C49" s="588" t="s">
        <v>346</v>
      </c>
      <c r="D49" s="588">
        <v>691.7</v>
      </c>
      <c r="E49" s="589">
        <v>699.8</v>
      </c>
      <c r="F49" s="589">
        <v>704.6</v>
      </c>
      <c r="G49" s="589">
        <v>708.3</v>
      </c>
      <c r="H49" s="589">
        <v>714.80000000000007</v>
      </c>
      <c r="I49" s="589">
        <v>713.09999999999991</v>
      </c>
      <c r="J49" s="589">
        <v>706.30000000000007</v>
      </c>
      <c r="K49" s="589">
        <v>702.79999999999984</v>
      </c>
      <c r="L49" s="589">
        <v>711</v>
      </c>
      <c r="M49" s="589">
        <v>717.2</v>
      </c>
      <c r="N49" s="589">
        <v>722.5</v>
      </c>
      <c r="O49" s="589">
        <v>722.6</v>
      </c>
      <c r="P49" s="589"/>
      <c r="Q49" s="579">
        <v>709.55833333333328</v>
      </c>
      <c r="R49" s="588">
        <v>722</v>
      </c>
      <c r="S49" s="589">
        <v>734.6</v>
      </c>
      <c r="T49" s="589">
        <v>751.9</v>
      </c>
      <c r="U49" s="589">
        <v>758.7</v>
      </c>
      <c r="V49" s="589">
        <v>758.4</v>
      </c>
      <c r="W49" s="589">
        <v>756.8</v>
      </c>
      <c r="X49" s="589">
        <v>763.6</v>
      </c>
      <c r="Y49" s="589">
        <v>763.9</v>
      </c>
      <c r="Z49" s="589">
        <v>763.9</v>
      </c>
      <c r="AA49" s="589">
        <v>774.7</v>
      </c>
      <c r="AB49" s="589">
        <v>779.9</v>
      </c>
      <c r="AC49" s="589">
        <v>783.7</v>
      </c>
      <c r="AD49" s="589"/>
      <c r="AE49" s="579">
        <v>759.3416666666667</v>
      </c>
      <c r="AF49" s="588">
        <v>781.6</v>
      </c>
      <c r="AG49" s="589">
        <v>775.6</v>
      </c>
      <c r="AH49" s="589">
        <v>779.7</v>
      </c>
      <c r="AI49" s="589">
        <v>778</v>
      </c>
      <c r="AJ49" s="589">
        <v>775.1</v>
      </c>
      <c r="AK49" s="589">
        <v>767.9</v>
      </c>
      <c r="AL49" s="589">
        <v>775.9</v>
      </c>
      <c r="AM49" s="589">
        <v>780.7</v>
      </c>
      <c r="AN49" s="589">
        <v>776.5</v>
      </c>
      <c r="AO49" s="589">
        <v>770.5</v>
      </c>
      <c r="AP49" s="589">
        <v>770.5</v>
      </c>
      <c r="AQ49" s="589">
        <v>761.8</v>
      </c>
      <c r="AR49" s="589"/>
      <c r="AS49" s="579">
        <v>775.63636363636363</v>
      </c>
      <c r="AT49" s="588">
        <v>746.8</v>
      </c>
      <c r="AU49" s="589">
        <v>737</v>
      </c>
      <c r="AV49" s="589">
        <v>739.9</v>
      </c>
      <c r="AW49" s="589">
        <v>741.99999999999977</v>
      </c>
      <c r="AX49" s="589">
        <v>751.5</v>
      </c>
      <c r="AY49" s="589">
        <v>765</v>
      </c>
      <c r="AZ49" s="589">
        <v>802.8</v>
      </c>
      <c r="BA49" s="589">
        <v>802.8</v>
      </c>
      <c r="BB49" s="589">
        <v>802.8</v>
      </c>
      <c r="BC49" s="589">
        <v>802.8</v>
      </c>
      <c r="BD49" s="589">
        <v>802.8</v>
      </c>
      <c r="BE49" s="589">
        <v>802.8</v>
      </c>
      <c r="BF49" s="579">
        <v>772.38181818181829</v>
      </c>
      <c r="BG49" s="588">
        <v>802.8</v>
      </c>
      <c r="BH49" s="589">
        <v>802.8</v>
      </c>
      <c r="BI49" s="589">
        <v>802.8</v>
      </c>
      <c r="BJ49" s="589">
        <v>802.8</v>
      </c>
      <c r="BK49" s="589">
        <v>802.8</v>
      </c>
      <c r="BL49" s="589">
        <v>802.8</v>
      </c>
      <c r="BM49" s="589">
        <v>802.8</v>
      </c>
      <c r="BN49" s="589">
        <v>802.8</v>
      </c>
      <c r="BO49" s="589">
        <v>802.8</v>
      </c>
      <c r="BP49" s="589">
        <v>802.8</v>
      </c>
      <c r="BQ49" s="589">
        <v>802.8</v>
      </c>
      <c r="BR49" s="589">
        <v>802.8</v>
      </c>
      <c r="BS49" s="579">
        <v>802.80000000000007</v>
      </c>
    </row>
    <row r="50" spans="3:71" s="596" customFormat="1">
      <c r="C50" s="588"/>
      <c r="D50" s="588"/>
      <c r="E50" s="589"/>
      <c r="F50" s="589"/>
      <c r="G50" s="589"/>
      <c r="H50" s="589"/>
      <c r="I50" s="589"/>
      <c r="J50" s="589"/>
      <c r="K50" s="589"/>
      <c r="L50" s="589"/>
      <c r="M50" s="589"/>
      <c r="N50" s="589"/>
      <c r="O50" s="589"/>
      <c r="P50" s="589"/>
      <c r="Q50" s="579"/>
      <c r="R50" s="588"/>
      <c r="S50" s="589"/>
      <c r="T50" s="589"/>
      <c r="U50" s="589"/>
      <c r="V50" s="589"/>
      <c r="W50" s="589"/>
      <c r="X50" s="589"/>
      <c r="Y50" s="589"/>
      <c r="Z50" s="589"/>
      <c r="AA50" s="589"/>
      <c r="AB50" s="589"/>
      <c r="AC50" s="589"/>
      <c r="AD50" s="589"/>
      <c r="AE50" s="579"/>
      <c r="AF50" s="588"/>
      <c r="AG50" s="589"/>
      <c r="AH50" s="589"/>
      <c r="AI50" s="589"/>
      <c r="AJ50" s="589"/>
      <c r="AK50" s="589"/>
      <c r="AL50" s="589"/>
      <c r="AM50" s="589"/>
      <c r="AN50" s="589"/>
      <c r="AO50" s="589"/>
      <c r="AP50" s="589"/>
      <c r="AQ50" s="589"/>
      <c r="AR50" s="589"/>
      <c r="AS50" s="579"/>
      <c r="AT50" s="588"/>
      <c r="AU50" s="589"/>
      <c r="AV50" s="589"/>
      <c r="AW50" s="589"/>
      <c r="AX50" s="589"/>
      <c r="AY50" s="589"/>
      <c r="AZ50" s="589"/>
      <c r="BA50" s="589"/>
      <c r="BB50" s="589"/>
      <c r="BC50" s="589"/>
      <c r="BD50" s="589"/>
      <c r="BE50" s="589"/>
      <c r="BF50" s="579"/>
      <c r="BG50" s="588"/>
      <c r="BH50" s="589"/>
      <c r="BI50" s="589"/>
      <c r="BJ50" s="589"/>
      <c r="BK50" s="589"/>
      <c r="BL50" s="589"/>
      <c r="BM50" s="589"/>
      <c r="BN50" s="589"/>
      <c r="BO50" s="589"/>
      <c r="BP50" s="589"/>
      <c r="BQ50" s="589"/>
      <c r="BR50" s="589"/>
      <c r="BS50" s="579"/>
    </row>
    <row r="51" spans="3:71" s="600" customFormat="1">
      <c r="C51" s="597" t="s">
        <v>347</v>
      </c>
      <c r="D51" s="598">
        <v>3738.0267601561368</v>
      </c>
      <c r="E51" s="598">
        <v>3796.9109602743642</v>
      </c>
      <c r="F51" s="598">
        <v>3789.5826852114674</v>
      </c>
      <c r="G51" s="598">
        <v>3788.3746293943254</v>
      </c>
      <c r="H51" s="598">
        <v>3773.7136261891428</v>
      </c>
      <c r="I51" s="598">
        <v>3782.2476651241068</v>
      </c>
      <c r="J51" s="598">
        <v>3819.5659634716117</v>
      </c>
      <c r="K51" s="598">
        <v>3832.1382612407524</v>
      </c>
      <c r="L51" s="598">
        <v>3909.7341350210982</v>
      </c>
      <c r="M51" s="598">
        <v>3834.7761154489681</v>
      </c>
      <c r="N51" s="598">
        <v>3837.6712941176474</v>
      </c>
      <c r="O51" s="598">
        <v>3843.4622336008856</v>
      </c>
      <c r="P51" s="598"/>
      <c r="Q51" s="599">
        <v>56246.042256333167</v>
      </c>
      <c r="R51" s="598">
        <v>4395.185332409972</v>
      </c>
      <c r="S51" s="598">
        <v>4482.2978491696158</v>
      </c>
      <c r="T51" s="598">
        <v>4479.1435031254159</v>
      </c>
      <c r="U51" s="598">
        <v>4452.5161460392774</v>
      </c>
      <c r="V51" s="598">
        <v>4482.9364451476795</v>
      </c>
      <c r="W51" s="598">
        <v>4506.2420718816074</v>
      </c>
      <c r="X51" s="598">
        <v>4491.4012572027241</v>
      </c>
      <c r="Y51" s="598">
        <v>4978.0782824977096</v>
      </c>
      <c r="Z51" s="598">
        <v>4500.675101404634</v>
      </c>
      <c r="AA51" s="598">
        <v>4476.3198657544854</v>
      </c>
      <c r="AB51" s="598">
        <v>4518.0227736248235</v>
      </c>
      <c r="AC51" s="598">
        <v>4761.8591297690436</v>
      </c>
      <c r="AD51" s="598"/>
      <c r="AE51" s="599">
        <v>57205.013114430258</v>
      </c>
      <c r="AF51" s="598">
        <v>4462.4385875127946</v>
      </c>
      <c r="AG51" s="598">
        <v>4506.0379061371841</v>
      </c>
      <c r="AH51" s="598">
        <v>4498.3185840707965</v>
      </c>
      <c r="AI51" s="598">
        <v>4901.8457583547561</v>
      </c>
      <c r="AJ51" s="598">
        <v>4504.4239452973807</v>
      </c>
      <c r="AK51" s="598">
        <v>4513.1032686547733</v>
      </c>
      <c r="AL51" s="598">
        <v>4493.4605047635005</v>
      </c>
      <c r="AM51" s="598">
        <v>4507.4420391955937</v>
      </c>
      <c r="AN51" s="598">
        <v>4541.2066967160335</v>
      </c>
      <c r="AO51" s="598">
        <v>5505.2991563919531</v>
      </c>
      <c r="AP51" s="598">
        <v>4753.4763604802129</v>
      </c>
      <c r="AQ51" s="598">
        <v>4714.7330814229435</v>
      </c>
      <c r="AR51" s="598"/>
      <c r="AS51" s="579">
        <v>54323.485818096575</v>
      </c>
      <c r="AT51" s="598">
        <v>4530.9199250133906</v>
      </c>
      <c r="AU51" s="598">
        <v>4601.8846675712348</v>
      </c>
      <c r="AV51" s="598">
        <v>4886.9725638599812</v>
      </c>
      <c r="AW51" s="598">
        <v>4644.5121293800557</v>
      </c>
      <c r="AX51" s="598">
        <v>4514.517631403859</v>
      </c>
      <c r="AY51" s="598">
        <v>4735.3056111267979</v>
      </c>
      <c r="AZ51" s="598">
        <v>4680.1223234280023</v>
      </c>
      <c r="BA51" s="598">
        <v>4680.1223234280023</v>
      </c>
      <c r="BB51" s="598">
        <v>4680.1223234280023</v>
      </c>
      <c r="BC51" s="598">
        <v>4680.1223234280023</v>
      </c>
      <c r="BD51" s="598">
        <v>4680.1223234280023</v>
      </c>
      <c r="BE51" s="598">
        <v>4680.1223234280023</v>
      </c>
      <c r="BF51" s="579">
        <v>56184.337821614361</v>
      </c>
      <c r="BG51" s="598">
        <v>4541.8647234678629</v>
      </c>
      <c r="BH51" s="598">
        <v>4541.8647234678629</v>
      </c>
      <c r="BI51" s="598">
        <v>4541.8647234678629</v>
      </c>
      <c r="BJ51" s="598">
        <v>4541.8647234678629</v>
      </c>
      <c r="BK51" s="598">
        <v>4541.8647234678629</v>
      </c>
      <c r="BL51" s="598">
        <v>4541.8647234678629</v>
      </c>
      <c r="BM51" s="598">
        <v>4541.8647234678629</v>
      </c>
      <c r="BN51" s="598">
        <v>4541.8647234678629</v>
      </c>
      <c r="BO51" s="598">
        <v>4541.8647234678629</v>
      </c>
      <c r="BP51" s="598">
        <v>4541.8647234678629</v>
      </c>
      <c r="BQ51" s="598">
        <v>4541.8647234678629</v>
      </c>
      <c r="BR51" s="598">
        <v>4541.8647234678629</v>
      </c>
      <c r="BS51" s="579">
        <v>54502.376681614347</v>
      </c>
    </row>
    <row r="52" spans="3:71" s="600" customFormat="1" ht="16.8" thickBot="1">
      <c r="C52" s="601" t="s">
        <v>348</v>
      </c>
      <c r="D52" s="602">
        <v>3958.9725603585366</v>
      </c>
      <c r="E52" s="602">
        <v>4303.1705487282079</v>
      </c>
      <c r="F52" s="602">
        <v>4534.8614249219409</v>
      </c>
      <c r="G52" s="602">
        <v>4371.9595933926312</v>
      </c>
      <c r="H52" s="602">
        <v>4343.3241606043639</v>
      </c>
      <c r="I52" s="602">
        <v>4577.4371757116824</v>
      </c>
      <c r="J52" s="602">
        <v>4432.3592524423038</v>
      </c>
      <c r="K52" s="602">
        <v>4462.1576124075136</v>
      </c>
      <c r="L52" s="602">
        <v>9854.2350773558355</v>
      </c>
      <c r="M52" s="602">
        <v>4413.3065950920254</v>
      </c>
      <c r="N52" s="602">
        <v>6257.9738408304493</v>
      </c>
      <c r="O52" s="602">
        <v>6304.0626210905057</v>
      </c>
      <c r="P52" s="602"/>
      <c r="Q52" s="603">
        <v>64123.202931400992</v>
      </c>
      <c r="R52" s="602">
        <v>5300.7254986149583</v>
      </c>
      <c r="S52" s="602">
        <v>5036.7016063163628</v>
      </c>
      <c r="T52" s="602">
        <v>4390.5878441282084</v>
      </c>
      <c r="U52" s="602">
        <v>5157.8529062870693</v>
      </c>
      <c r="V52" s="602">
        <v>5200.1925105485234</v>
      </c>
      <c r="W52" s="602">
        <v>9193.4672304439755</v>
      </c>
      <c r="X52" s="602">
        <v>6002.678103719225</v>
      </c>
      <c r="Y52" s="602">
        <v>6504.8383296242964</v>
      </c>
      <c r="Z52" s="602">
        <v>4945.9806792171748</v>
      </c>
      <c r="AA52" s="602">
        <v>6432.8656254033813</v>
      </c>
      <c r="AB52" s="602">
        <v>5727.028889865368</v>
      </c>
      <c r="AC52" s="602">
        <v>5783.9326272808466</v>
      </c>
      <c r="AD52" s="602"/>
      <c r="AE52" s="603">
        <v>71561.298932189064</v>
      </c>
      <c r="AF52" s="602">
        <v>4758.9751791197541</v>
      </c>
      <c r="AG52" s="602">
        <v>4862.5825167612165</v>
      </c>
      <c r="AH52" s="602">
        <v>4779.748621264589</v>
      </c>
      <c r="AI52" s="602">
        <v>5176.4305912596401</v>
      </c>
      <c r="AJ52" s="602">
        <v>4741.7971874596824</v>
      </c>
      <c r="AK52" s="602">
        <v>5031.3543430134132</v>
      </c>
      <c r="AL52" s="602">
        <v>4820.0764750766848</v>
      </c>
      <c r="AM52" s="602">
        <v>4875.0070449596515</v>
      </c>
      <c r="AN52" s="602">
        <v>11768.517707662588</v>
      </c>
      <c r="AO52" s="602">
        <v>6644.5606748864375</v>
      </c>
      <c r="AP52" s="602">
        <v>5304.2257473069494</v>
      </c>
      <c r="AQ52" s="602">
        <v>5110.2062922079267</v>
      </c>
      <c r="AR52" s="602"/>
      <c r="AS52" s="603">
        <v>73544.602437880923</v>
      </c>
      <c r="AT52" s="602">
        <v>4705.1004284949122</v>
      </c>
      <c r="AU52" s="602">
        <v>5189.899592944369</v>
      </c>
      <c r="AV52" s="602">
        <v>5350.7041492093531</v>
      </c>
      <c r="AW52" s="602">
        <v>5349.2035040431283</v>
      </c>
      <c r="AX52" s="602">
        <v>5159.079174983367</v>
      </c>
      <c r="AY52" s="602">
        <v>5280.3561160993468</v>
      </c>
      <c r="AZ52" s="602">
        <v>7870.5760195947523</v>
      </c>
      <c r="BA52" s="602">
        <v>7870.5760195947523</v>
      </c>
      <c r="BB52" s="602">
        <v>7870.5760195947523</v>
      </c>
      <c r="BC52" s="602">
        <v>7870.5760195947523</v>
      </c>
      <c r="BD52" s="602">
        <v>7870.5760195947523</v>
      </c>
      <c r="BE52" s="602">
        <v>7870.5760195947523</v>
      </c>
      <c r="BF52" s="603">
        <v>79098.605847319966</v>
      </c>
      <c r="BG52" s="602">
        <v>5826.1293805015785</v>
      </c>
      <c r="BH52" s="602">
        <v>5826.1293805015785</v>
      </c>
      <c r="BI52" s="602">
        <v>5826.1293805015785</v>
      </c>
      <c r="BJ52" s="602">
        <v>5826.1293805015785</v>
      </c>
      <c r="BK52" s="602">
        <v>5826.1293805015785</v>
      </c>
      <c r="BL52" s="602">
        <v>5826.1293805015785</v>
      </c>
      <c r="BM52" s="602">
        <v>5826.1293805015785</v>
      </c>
      <c r="BN52" s="602">
        <v>5826.1293805015785</v>
      </c>
      <c r="BO52" s="602">
        <v>5826.1293805015785</v>
      </c>
      <c r="BP52" s="602">
        <v>5826.1293805015785</v>
      </c>
      <c r="BQ52" s="602">
        <v>5826.1293805015785</v>
      </c>
      <c r="BR52" s="602">
        <v>5826.1293805015785</v>
      </c>
      <c r="BS52" s="603">
        <v>69913.552566018931</v>
      </c>
    </row>
    <row r="53" spans="3:71">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604"/>
      <c r="BR53" s="604"/>
      <c r="BS53" s="604"/>
    </row>
    <row r="54" spans="3:7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619"/>
      <c r="BG54" s="381"/>
      <c r="BH54" s="381"/>
      <c r="BI54" s="381"/>
      <c r="BJ54" s="381"/>
      <c r="BK54" s="381"/>
      <c r="BL54" s="381"/>
      <c r="BM54" s="381"/>
      <c r="BN54" s="381"/>
      <c r="BO54" s="381"/>
      <c r="BP54" s="381"/>
      <c r="BQ54" s="381"/>
      <c r="BR54" s="381"/>
      <c r="BS54" s="381"/>
    </row>
    <row r="55" spans="3:71">
      <c r="D55" s="613">
        <v>0</v>
      </c>
      <c r="E55" s="613">
        <v>0</v>
      </c>
      <c r="F55" s="613">
        <v>0</v>
      </c>
      <c r="G55" s="613">
        <v>0</v>
      </c>
      <c r="H55" s="613">
        <v>0</v>
      </c>
      <c r="I55" s="613">
        <v>0</v>
      </c>
      <c r="J55" s="613">
        <v>0</v>
      </c>
      <c r="K55" s="613">
        <v>0</v>
      </c>
      <c r="L55" s="613">
        <v>0</v>
      </c>
      <c r="M55" s="613">
        <v>0</v>
      </c>
      <c r="N55" s="613">
        <v>0</v>
      </c>
      <c r="O55" s="613">
        <v>0</v>
      </c>
      <c r="P55" s="613">
        <v>-0.23999999649822712</v>
      </c>
      <c r="Q55" s="613">
        <v>0</v>
      </c>
      <c r="R55" s="613">
        <v>3.0000000726431608E-2</v>
      </c>
      <c r="S55" s="613">
        <v>0</v>
      </c>
      <c r="T55" s="613">
        <v>0</v>
      </c>
      <c r="U55" s="613">
        <v>0</v>
      </c>
      <c r="V55" s="613">
        <v>0</v>
      </c>
      <c r="W55" s="613">
        <v>0</v>
      </c>
      <c r="X55" s="613">
        <v>0</v>
      </c>
      <c r="Y55" s="613">
        <v>0</v>
      </c>
      <c r="Z55" s="613">
        <v>0.20914600137621164</v>
      </c>
      <c r="AA55" s="613">
        <v>0</v>
      </c>
      <c r="AB55" s="613">
        <v>0.12879400327801704</v>
      </c>
      <c r="AC55" s="613">
        <v>0</v>
      </c>
      <c r="AD55" s="613">
        <v>32224</v>
      </c>
      <c r="AE55" s="613">
        <v>0</v>
      </c>
      <c r="AF55" s="613">
        <v>1.0000000707805157E-2</v>
      </c>
      <c r="AG55" s="613">
        <v>-0.2099999999627471</v>
      </c>
      <c r="AH55" s="613">
        <v>-8.0000000074505806E-2</v>
      </c>
      <c r="AI55" s="613">
        <v>0.25</v>
      </c>
      <c r="AJ55" s="613">
        <v>-0.31999999983236194</v>
      </c>
      <c r="AK55" s="613">
        <v>-0.18000000016763806</v>
      </c>
      <c r="AL55" s="613">
        <v>-0.35701199853792787</v>
      </c>
      <c r="AM55" s="613">
        <v>0.30999999912455678</v>
      </c>
      <c r="AN55" s="613">
        <v>-0.11999999731779099</v>
      </c>
      <c r="AO55" s="613">
        <v>0</v>
      </c>
      <c r="AP55" s="613">
        <v>3.1699992716312408E-2</v>
      </c>
      <c r="AQ55" s="613">
        <v>-0.46340399887412786</v>
      </c>
      <c r="AR55" s="613">
        <v>0.128716005012393</v>
      </c>
      <c r="AS55" s="613">
        <v>0</v>
      </c>
      <c r="AT55" s="613">
        <v>0</v>
      </c>
      <c r="AU55" s="613">
        <v>234665.53636363614</v>
      </c>
      <c r="AV55" s="613">
        <v>234665.63636363624</v>
      </c>
      <c r="AW55" s="613">
        <v>234665.6363636367</v>
      </c>
      <c r="AX55" s="613"/>
      <c r="AY55" s="613"/>
      <c r="AZ55" s="613"/>
      <c r="BA55" s="613"/>
      <c r="BB55" s="613"/>
      <c r="BC55" s="613"/>
      <c r="BD55" s="613"/>
      <c r="BE55" s="613"/>
      <c r="BF55" s="604">
        <v>0</v>
      </c>
      <c r="BG55" s="613">
        <v>0</v>
      </c>
      <c r="BH55" s="613">
        <v>0</v>
      </c>
      <c r="BI55" s="613">
        <v>0</v>
      </c>
      <c r="BJ55" s="613">
        <v>0</v>
      </c>
      <c r="BK55" s="613">
        <v>0</v>
      </c>
      <c r="BL55" s="613">
        <v>0</v>
      </c>
      <c r="BM55" s="613">
        <v>0</v>
      </c>
      <c r="BN55" s="613">
        <v>0</v>
      </c>
      <c r="BO55" s="613">
        <v>0</v>
      </c>
      <c r="BP55" s="613">
        <v>0</v>
      </c>
      <c r="BQ55" s="613">
        <v>0</v>
      </c>
      <c r="BR55" s="613">
        <v>0</v>
      </c>
      <c r="BS55" s="613">
        <v>0</v>
      </c>
    </row>
    <row r="56" spans="3:71">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row>
    <row r="57" spans="3:71">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c r="BQ57" s="604"/>
      <c r="BR57" s="604"/>
      <c r="BS57" s="604"/>
    </row>
    <row r="59" spans="3:71">
      <c r="AK59" s="617"/>
      <c r="AY59" s="617"/>
      <c r="BL59" s="6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4"/>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2" sqref="A2:L2"/>
    </sheetView>
  </sheetViews>
  <sheetFormatPr defaultColWidth="9.109375" defaultRowHeight="18" customHeight="1"/>
  <cols>
    <col min="1" max="1" width="9.44140625" style="67" customWidth="1"/>
    <col min="2" max="2" width="48.6640625" style="67" customWidth="1"/>
    <col min="3" max="3" width="16.88671875" style="78" bestFit="1" customWidth="1"/>
    <col min="4" max="4" width="19.33203125" style="78" bestFit="1" customWidth="1"/>
    <col min="5" max="5" width="18.33203125" style="78" bestFit="1" customWidth="1"/>
    <col min="6" max="6" width="18.6640625" style="79" bestFit="1" customWidth="1"/>
    <col min="7" max="7" width="16.109375" style="79" bestFit="1" customWidth="1"/>
    <col min="8" max="8" width="8.33203125" style="79" bestFit="1" customWidth="1"/>
    <col min="9" max="9" width="16.88671875" style="78" bestFit="1" customWidth="1"/>
    <col min="10" max="10" width="15.21875" style="78" bestFit="1" customWidth="1"/>
    <col min="11" max="11" width="16.88671875" style="78" bestFit="1" customWidth="1"/>
    <col min="12" max="12" width="14.88671875" style="78" bestFit="1" customWidth="1"/>
    <col min="13" max="13" width="5.6640625" style="66" bestFit="1" customWidth="1"/>
    <col min="14" max="14" width="15.5546875" style="67" bestFit="1" customWidth="1"/>
    <col min="15" max="15" width="11.6640625" style="67" bestFit="1" customWidth="1"/>
    <col min="16" max="16384" width="9.109375" style="67"/>
  </cols>
  <sheetData>
    <row r="1" spans="1:14" s="63" customFormat="1" ht="18" customHeight="1">
      <c r="A1" s="622" t="s">
        <v>3</v>
      </c>
      <c r="B1" s="622"/>
      <c r="C1" s="622"/>
      <c r="D1" s="622"/>
      <c r="E1" s="622"/>
      <c r="F1" s="622"/>
      <c r="G1" s="622"/>
      <c r="H1" s="622"/>
      <c r="I1" s="622"/>
      <c r="J1" s="622"/>
      <c r="K1" s="622"/>
      <c r="L1" s="622"/>
      <c r="M1" s="106"/>
    </row>
    <row r="2" spans="1:14" s="65" customFormat="1" ht="18" customHeight="1">
      <c r="A2" s="623" t="s">
        <v>494</v>
      </c>
      <c r="B2" s="623"/>
      <c r="C2" s="623"/>
      <c r="D2" s="623"/>
      <c r="E2" s="623"/>
      <c r="F2" s="623"/>
      <c r="G2" s="623"/>
      <c r="H2" s="623"/>
      <c r="I2" s="623"/>
      <c r="J2" s="623"/>
      <c r="K2" s="623"/>
      <c r="L2" s="623"/>
      <c r="M2" s="107"/>
    </row>
    <row r="3" spans="1:14" s="65" customFormat="1" ht="18" customHeight="1">
      <c r="A3" s="624" t="s">
        <v>614</v>
      </c>
      <c r="B3" s="624"/>
      <c r="C3" s="624"/>
      <c r="D3" s="624"/>
      <c r="E3" s="624"/>
      <c r="F3" s="624"/>
      <c r="G3" s="624"/>
      <c r="H3" s="624"/>
      <c r="I3" s="624"/>
      <c r="J3" s="624"/>
      <c r="K3" s="624"/>
      <c r="L3" s="624"/>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30040791</v>
      </c>
      <c r="D5" s="114">
        <f>E5+G5</f>
        <v>-69990</v>
      </c>
      <c r="E5" s="114">
        <v>-69990</v>
      </c>
      <c r="F5" s="312" t="s">
        <v>196</v>
      </c>
      <c r="G5" s="114">
        <v>0</v>
      </c>
      <c r="H5" s="312"/>
      <c r="I5" s="114">
        <v>29970801</v>
      </c>
      <c r="J5" s="114">
        <v>13438638.889999984</v>
      </c>
      <c r="K5" s="114">
        <v>29970801</v>
      </c>
      <c r="L5" s="114">
        <f>I5-K5</f>
        <v>0</v>
      </c>
      <c r="M5" s="117">
        <f>I5-C5-D5</f>
        <v>0</v>
      </c>
    </row>
    <row r="6" spans="1:14" s="70" customFormat="1" ht="7.5" customHeight="1">
      <c r="A6" s="112"/>
      <c r="B6" s="113"/>
      <c r="C6" s="114"/>
      <c r="D6" s="114"/>
      <c r="E6" s="114"/>
      <c r="F6" s="116"/>
      <c r="G6" s="116"/>
      <c r="H6" s="116"/>
      <c r="I6" s="114"/>
      <c r="J6" s="114"/>
      <c r="K6" s="114"/>
      <c r="L6" s="114"/>
      <c r="M6" s="117">
        <f t="shared" ref="M6:M56" si="0">I6-C6-D6</f>
        <v>0</v>
      </c>
    </row>
    <row r="7" spans="1:14" s="71" customFormat="1" ht="18" customHeight="1">
      <c r="A7" s="118" t="s">
        <v>221</v>
      </c>
      <c r="B7" s="119"/>
      <c r="C7" s="120">
        <f>C5</f>
        <v>30040791</v>
      </c>
      <c r="D7" s="120">
        <f>D5</f>
        <v>-69990</v>
      </c>
      <c r="E7" s="120">
        <v>-69990</v>
      </c>
      <c r="F7" s="120"/>
      <c r="G7" s="120">
        <f t="shared" ref="G7:L7" si="1">G5</f>
        <v>0</v>
      </c>
      <c r="H7" s="120"/>
      <c r="I7" s="120">
        <f>I5</f>
        <v>29970801</v>
      </c>
      <c r="J7" s="120">
        <f>J5</f>
        <v>13438638.889999984</v>
      </c>
      <c r="K7" s="120">
        <f t="shared" si="1"/>
        <v>29970801</v>
      </c>
      <c r="L7" s="120">
        <f t="shared" si="1"/>
        <v>0</v>
      </c>
      <c r="M7" s="117">
        <f t="shared" si="0"/>
        <v>0</v>
      </c>
      <c r="N7" s="61"/>
    </row>
    <row r="8" spans="1:14" s="62" customFormat="1" ht="18" customHeight="1">
      <c r="A8" s="122" t="s">
        <v>23</v>
      </c>
      <c r="B8" s="113" t="s">
        <v>8</v>
      </c>
      <c r="C8" s="114">
        <v>838865626</v>
      </c>
      <c r="D8" s="114">
        <f>E8+G8</f>
        <v>-12258937</v>
      </c>
      <c r="E8" s="114">
        <v>-13158937</v>
      </c>
      <c r="F8" s="116" t="s">
        <v>630</v>
      </c>
      <c r="G8" s="114">
        <v>900000</v>
      </c>
      <c r="H8" s="116" t="s">
        <v>629</v>
      </c>
      <c r="I8" s="114">
        <v>826606689</v>
      </c>
      <c r="J8" s="379">
        <v>362052204.20999795</v>
      </c>
      <c r="K8" s="114">
        <v>826606689</v>
      </c>
      <c r="L8" s="114">
        <f t="shared" ref="L8:L18" si="2">I8-K8</f>
        <v>0</v>
      </c>
      <c r="M8" s="117">
        <f>I8-C8-D8</f>
        <v>0</v>
      </c>
      <c r="N8" s="61"/>
    </row>
    <row r="9" spans="1:14" s="62" customFormat="1" ht="18" customHeight="1">
      <c r="A9" s="122" t="s">
        <v>24</v>
      </c>
      <c r="B9" s="113" t="s">
        <v>9</v>
      </c>
      <c r="C9" s="114">
        <v>76264000</v>
      </c>
      <c r="D9" s="114">
        <f>E9+G9</f>
        <v>11017630</v>
      </c>
      <c r="E9" s="114">
        <v>9232670</v>
      </c>
      <c r="F9" s="116" t="s">
        <v>621</v>
      </c>
      <c r="G9" s="114">
        <v>1784960</v>
      </c>
      <c r="H9" s="116" t="s">
        <v>620</v>
      </c>
      <c r="I9" s="114">
        <v>87281630</v>
      </c>
      <c r="J9" s="114">
        <v>31436928.020000264</v>
      </c>
      <c r="K9" s="114">
        <v>87281630</v>
      </c>
      <c r="L9" s="114">
        <f>I9-K9</f>
        <v>0</v>
      </c>
      <c r="M9" s="117">
        <f>I9-C9-D9</f>
        <v>0</v>
      </c>
      <c r="N9" s="61"/>
    </row>
    <row r="10" spans="1:14" s="62" customFormat="1" ht="18" customHeight="1">
      <c r="A10" s="122" t="s">
        <v>25</v>
      </c>
      <c r="B10" s="113" t="s">
        <v>159</v>
      </c>
      <c r="C10" s="114">
        <v>60456246</v>
      </c>
      <c r="D10" s="114">
        <f t="shared" ref="D10:D18" si="3">E10+G10</f>
        <v>190172</v>
      </c>
      <c r="E10" s="114">
        <v>144728</v>
      </c>
      <c r="F10" s="115" t="s">
        <v>622</v>
      </c>
      <c r="G10" s="114">
        <v>45444</v>
      </c>
      <c r="H10" s="115" t="s">
        <v>622</v>
      </c>
      <c r="I10" s="114">
        <v>60646418</v>
      </c>
      <c r="J10" s="114">
        <v>21808658.45999999</v>
      </c>
      <c r="K10" s="114">
        <v>56707641</v>
      </c>
      <c r="L10" s="114">
        <f t="shared" si="2"/>
        <v>3938777</v>
      </c>
      <c r="M10" s="117">
        <f>I10-C10-D10</f>
        <v>0</v>
      </c>
      <c r="N10" s="61"/>
    </row>
    <row r="11" spans="1:14" s="62" customFormat="1" ht="18" customHeight="1">
      <c r="A11" s="122" t="s">
        <v>26</v>
      </c>
      <c r="B11" s="113" t="s">
        <v>160</v>
      </c>
      <c r="C11" s="114">
        <v>12267559</v>
      </c>
      <c r="D11" s="114">
        <f t="shared" si="3"/>
        <v>0</v>
      </c>
      <c r="E11" s="114">
        <v>0</v>
      </c>
      <c r="F11" s="115"/>
      <c r="G11" s="114">
        <v>0</v>
      </c>
      <c r="H11" s="115"/>
      <c r="I11" s="114">
        <v>12267559</v>
      </c>
      <c r="J11" s="114">
        <v>3559124.01</v>
      </c>
      <c r="K11" s="114">
        <v>12267559</v>
      </c>
      <c r="L11" s="114">
        <f t="shared" si="2"/>
        <v>0</v>
      </c>
      <c r="M11" s="117">
        <f t="shared" si="0"/>
        <v>0</v>
      </c>
      <c r="N11" s="61"/>
    </row>
    <row r="12" spans="1:14" s="62" customFormat="1" ht="18" customHeight="1">
      <c r="A12" s="122" t="s">
        <v>27</v>
      </c>
      <c r="B12" s="113" t="s">
        <v>161</v>
      </c>
      <c r="C12" s="114">
        <v>6415701</v>
      </c>
      <c r="D12" s="114">
        <f t="shared" si="3"/>
        <v>0</v>
      </c>
      <c r="E12" s="114">
        <v>0</v>
      </c>
      <c r="F12" s="115"/>
      <c r="G12" s="114">
        <v>0</v>
      </c>
      <c r="H12" s="115"/>
      <c r="I12" s="114">
        <v>6415701</v>
      </c>
      <c r="J12" s="114">
        <v>1400408.2599999995</v>
      </c>
      <c r="K12" s="114">
        <v>6415701</v>
      </c>
      <c r="L12" s="114">
        <f t="shared" si="2"/>
        <v>0</v>
      </c>
      <c r="M12" s="117">
        <f t="shared" si="0"/>
        <v>0</v>
      </c>
      <c r="N12" s="61"/>
    </row>
    <row r="13" spans="1:14" s="62" customFormat="1" ht="18" customHeight="1">
      <c r="A13" s="122" t="s">
        <v>100</v>
      </c>
      <c r="B13" s="113" t="s">
        <v>11</v>
      </c>
      <c r="C13" s="114">
        <v>9699710</v>
      </c>
      <c r="D13" s="114">
        <f t="shared" si="3"/>
        <v>14536063</v>
      </c>
      <c r="E13" s="114">
        <v>14536063</v>
      </c>
      <c r="F13" s="115" t="s">
        <v>623</v>
      </c>
      <c r="G13" s="114">
        <v>0</v>
      </c>
      <c r="H13" s="115" t="s">
        <v>620</v>
      </c>
      <c r="I13" s="114">
        <v>24235773</v>
      </c>
      <c r="J13" s="114">
        <v>5177529.0599999968</v>
      </c>
      <c r="K13" s="114">
        <v>24235773</v>
      </c>
      <c r="L13" s="114">
        <f t="shared" si="2"/>
        <v>0</v>
      </c>
      <c r="M13" s="117">
        <f t="shared" si="0"/>
        <v>0</v>
      </c>
      <c r="N13" s="61"/>
    </row>
    <row r="14" spans="1:14" s="62" customFormat="1" ht="18" customHeight="1">
      <c r="A14" s="122" t="s">
        <v>101</v>
      </c>
      <c r="B14" s="113" t="s">
        <v>162</v>
      </c>
      <c r="C14" s="114">
        <v>13597190</v>
      </c>
      <c r="D14" s="114">
        <f t="shared" si="3"/>
        <v>0</v>
      </c>
      <c r="E14" s="114">
        <v>0</v>
      </c>
      <c r="F14" s="115"/>
      <c r="G14" s="114">
        <v>0</v>
      </c>
      <c r="H14" s="115"/>
      <c r="I14" s="114">
        <v>13597190</v>
      </c>
      <c r="J14" s="114">
        <v>3794357.8400000012</v>
      </c>
      <c r="K14" s="114">
        <v>13597190</v>
      </c>
      <c r="L14" s="114">
        <f t="shared" si="2"/>
        <v>0</v>
      </c>
      <c r="M14" s="117">
        <f t="shared" si="0"/>
        <v>0</v>
      </c>
      <c r="N14" s="61"/>
    </row>
    <row r="15" spans="1:14" s="62" customFormat="1" ht="18" customHeight="1">
      <c r="A15" s="122" t="s">
        <v>102</v>
      </c>
      <c r="B15" s="113" t="s">
        <v>163</v>
      </c>
      <c r="C15" s="114">
        <v>37901842</v>
      </c>
      <c r="D15" s="114">
        <f t="shared" si="3"/>
        <v>8134400</v>
      </c>
      <c r="E15" s="114">
        <v>830972</v>
      </c>
      <c r="F15" s="115" t="s">
        <v>625</v>
      </c>
      <c r="G15" s="114">
        <v>7303428</v>
      </c>
      <c r="H15" s="115" t="s">
        <v>625</v>
      </c>
      <c r="I15" s="114">
        <v>46036242</v>
      </c>
      <c r="J15" s="114">
        <v>10038837.370000003</v>
      </c>
      <c r="K15" s="114">
        <v>46036242</v>
      </c>
      <c r="L15" s="114">
        <f t="shared" si="2"/>
        <v>0</v>
      </c>
      <c r="M15" s="117">
        <f t="shared" si="0"/>
        <v>0</v>
      </c>
      <c r="N15" s="61"/>
    </row>
    <row r="16" spans="1:14" s="62" customFormat="1" ht="18" customHeight="1">
      <c r="A16" s="122" t="s">
        <v>103</v>
      </c>
      <c r="B16" s="113" t="s">
        <v>164</v>
      </c>
      <c r="C16" s="114">
        <v>562747488</v>
      </c>
      <c r="D16" s="114">
        <f t="shared" si="3"/>
        <v>70483445</v>
      </c>
      <c r="E16" s="114">
        <v>69840993</v>
      </c>
      <c r="F16" s="115" t="s">
        <v>626</v>
      </c>
      <c r="G16" s="114">
        <v>642452</v>
      </c>
      <c r="H16" s="115" t="s">
        <v>622</v>
      </c>
      <c r="I16" s="114">
        <v>633230933</v>
      </c>
      <c r="J16" s="114">
        <v>209562624.89999959</v>
      </c>
      <c r="K16" s="114">
        <v>642579040</v>
      </c>
      <c r="L16" s="114">
        <f t="shared" si="2"/>
        <v>-9348107</v>
      </c>
      <c r="M16" s="117">
        <f t="shared" si="0"/>
        <v>0</v>
      </c>
      <c r="N16" s="61"/>
    </row>
    <row r="17" spans="1:14" s="62" customFormat="1" ht="18" customHeight="1">
      <c r="A17" s="122" t="s">
        <v>104</v>
      </c>
      <c r="B17" s="113" t="s">
        <v>165</v>
      </c>
      <c r="C17" s="114">
        <v>314739184</v>
      </c>
      <c r="D17" s="114">
        <f t="shared" si="3"/>
        <v>8359641</v>
      </c>
      <c r="E17" s="114">
        <v>6961347</v>
      </c>
      <c r="F17" s="115" t="s">
        <v>622</v>
      </c>
      <c r="G17" s="114">
        <v>1398294</v>
      </c>
      <c r="H17" s="115" t="s">
        <v>622</v>
      </c>
      <c r="I17" s="114">
        <v>323098825</v>
      </c>
      <c r="J17" s="114">
        <v>154276774.44000003</v>
      </c>
      <c r="K17" s="114">
        <v>310345514</v>
      </c>
      <c r="L17" s="114">
        <f t="shared" si="2"/>
        <v>12753311</v>
      </c>
      <c r="M17" s="117">
        <f t="shared" si="0"/>
        <v>0</v>
      </c>
      <c r="N17" s="61"/>
    </row>
    <row r="18" spans="1:14" s="62" customFormat="1" ht="18" customHeight="1">
      <c r="A18" s="122" t="s">
        <v>105</v>
      </c>
      <c r="B18" s="113" t="s">
        <v>166</v>
      </c>
      <c r="C18" s="114">
        <v>24670997</v>
      </c>
      <c r="D18" s="114">
        <f t="shared" si="3"/>
        <v>0</v>
      </c>
      <c r="E18" s="114">
        <v>0</v>
      </c>
      <c r="F18" s="115"/>
      <c r="G18" s="114">
        <v>0</v>
      </c>
      <c r="H18" s="115"/>
      <c r="I18" s="114">
        <v>24670997</v>
      </c>
      <c r="J18" s="114">
        <v>9354261.4799999986</v>
      </c>
      <c r="K18" s="114">
        <v>25351140</v>
      </c>
      <c r="L18" s="114">
        <f t="shared" si="2"/>
        <v>-680143</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f>SUM(C8:C18)</f>
        <v>1957625543</v>
      </c>
      <c r="D20" s="120">
        <f>SUM(D8:D18)</f>
        <v>100462414</v>
      </c>
      <c r="E20" s="120">
        <f>SUM(E8:E18)</f>
        <v>88387836</v>
      </c>
      <c r="F20" s="120"/>
      <c r="G20" s="120">
        <f>SUM(G8:G18)</f>
        <v>12074578</v>
      </c>
      <c r="H20" s="120"/>
      <c r="I20" s="120">
        <f>SUM(I8:I18)</f>
        <v>2058087957</v>
      </c>
      <c r="J20" s="120">
        <f>SUM(J8:J18)</f>
        <v>812461708.04999781</v>
      </c>
      <c r="K20" s="120">
        <f>SUM(K8:K18)</f>
        <v>2051424119</v>
      </c>
      <c r="L20" s="120">
        <f>SUM(L8:L18)</f>
        <v>6663838</v>
      </c>
      <c r="M20" s="117">
        <f t="shared" si="0"/>
        <v>0</v>
      </c>
      <c r="N20" s="61"/>
    </row>
    <row r="21" spans="1:14" s="62" customFormat="1" ht="18" customHeight="1">
      <c r="A21" s="122" t="s">
        <v>28</v>
      </c>
      <c r="B21" s="113" t="s">
        <v>14</v>
      </c>
      <c r="C21" s="114">
        <v>24412360</v>
      </c>
      <c r="D21" s="114">
        <f t="shared" ref="D21:D26" si="4">E21+G21</f>
        <v>5768761</v>
      </c>
      <c r="E21" s="114">
        <v>1706261</v>
      </c>
      <c r="F21" s="115" t="s">
        <v>620</v>
      </c>
      <c r="G21" s="114">
        <v>4062500</v>
      </c>
      <c r="H21" s="115" t="s">
        <v>620</v>
      </c>
      <c r="I21" s="114">
        <v>30181121</v>
      </c>
      <c r="J21" s="114">
        <v>10085050.710000003</v>
      </c>
      <c r="K21" s="114">
        <v>30181121</v>
      </c>
      <c r="L21" s="114">
        <f t="shared" ref="L21:L26" si="5">I21-K21</f>
        <v>0</v>
      </c>
      <c r="M21" s="117">
        <f>I21-C21-D21</f>
        <v>0</v>
      </c>
      <c r="N21" s="61"/>
    </row>
    <row r="22" spans="1:14" s="62" customFormat="1" ht="18" customHeight="1">
      <c r="A22" s="122" t="s">
        <v>106</v>
      </c>
      <c r="B22" s="113" t="s">
        <v>15</v>
      </c>
      <c r="C22" s="114">
        <v>8922558</v>
      </c>
      <c r="D22" s="114">
        <f t="shared" si="4"/>
        <v>500000</v>
      </c>
      <c r="E22" s="114">
        <v>500000</v>
      </c>
      <c r="F22" s="115" t="s">
        <v>620</v>
      </c>
      <c r="G22" s="114">
        <v>0</v>
      </c>
      <c r="H22" s="115" t="s">
        <v>620</v>
      </c>
      <c r="I22" s="114">
        <v>9422558</v>
      </c>
      <c r="J22" s="114">
        <v>1881590.7400000002</v>
      </c>
      <c r="K22" s="114">
        <v>9422558</v>
      </c>
      <c r="L22" s="114">
        <f t="shared" si="5"/>
        <v>0</v>
      </c>
      <c r="M22" s="117">
        <f t="shared" si="0"/>
        <v>0</v>
      </c>
      <c r="N22" s="61"/>
    </row>
    <row r="23" spans="1:14" s="62" customFormat="1" ht="18" customHeight="1">
      <c r="A23" s="122" t="s">
        <v>107</v>
      </c>
      <c r="B23" s="113" t="s">
        <v>16</v>
      </c>
      <c r="C23" s="114">
        <v>4548914</v>
      </c>
      <c r="D23" s="114">
        <f t="shared" si="4"/>
        <v>2113499</v>
      </c>
      <c r="E23" s="114">
        <v>2113499</v>
      </c>
      <c r="F23" s="115" t="s">
        <v>620</v>
      </c>
      <c r="G23" s="114">
        <v>0</v>
      </c>
      <c r="H23" s="115" t="s">
        <v>620</v>
      </c>
      <c r="I23" s="114">
        <v>6662413</v>
      </c>
      <c r="J23" s="114">
        <v>1644220.2000000007</v>
      </c>
      <c r="K23" s="114">
        <v>6662413</v>
      </c>
      <c r="L23" s="114">
        <f t="shared" si="5"/>
        <v>0</v>
      </c>
      <c r="M23" s="117">
        <f t="shared" si="0"/>
        <v>0</v>
      </c>
      <c r="N23" s="61"/>
    </row>
    <row r="24" spans="1:14" s="62" customFormat="1" ht="18" customHeight="1">
      <c r="A24" s="122" t="s">
        <v>93</v>
      </c>
      <c r="B24" s="113" t="s">
        <v>135</v>
      </c>
      <c r="C24" s="114">
        <v>30164830</v>
      </c>
      <c r="D24" s="114">
        <f t="shared" si="4"/>
        <v>3149500</v>
      </c>
      <c r="E24" s="114">
        <v>1887000</v>
      </c>
      <c r="F24" s="115" t="s">
        <v>624</v>
      </c>
      <c r="G24" s="114">
        <v>1262500</v>
      </c>
      <c r="H24" s="115" t="s">
        <v>620</v>
      </c>
      <c r="I24" s="114">
        <v>33314330</v>
      </c>
      <c r="J24" s="114">
        <v>9518199.8999999966</v>
      </c>
      <c r="K24" s="114">
        <v>33314330</v>
      </c>
      <c r="L24" s="114">
        <f t="shared" si="5"/>
        <v>0</v>
      </c>
      <c r="M24" s="117">
        <f t="shared" si="0"/>
        <v>0</v>
      </c>
      <c r="N24" s="61"/>
    </row>
    <row r="25" spans="1:14" s="62" customFormat="1" ht="18" customHeight="1">
      <c r="A25" s="122" t="s">
        <v>94</v>
      </c>
      <c r="B25" s="113" t="s">
        <v>290</v>
      </c>
      <c r="C25" s="114">
        <v>36839903</v>
      </c>
      <c r="D25" s="114">
        <f t="shared" si="4"/>
        <v>4248611</v>
      </c>
      <c r="E25" s="114">
        <v>4248611</v>
      </c>
      <c r="F25" s="115" t="s">
        <v>620</v>
      </c>
      <c r="G25" s="114">
        <v>0</v>
      </c>
      <c r="H25" s="115" t="s">
        <v>620</v>
      </c>
      <c r="I25" s="114">
        <v>41088514</v>
      </c>
      <c r="J25" s="114">
        <v>11437746.099999998</v>
      </c>
      <c r="K25" s="114">
        <v>41088514</v>
      </c>
      <c r="L25" s="114">
        <f t="shared" si="5"/>
        <v>0</v>
      </c>
      <c r="M25" s="117">
        <f>I25-C25-D25</f>
        <v>0</v>
      </c>
      <c r="N25" s="61"/>
    </row>
    <row r="26" spans="1:14" s="62" customFormat="1" ht="18" customHeight="1">
      <c r="A26" s="122" t="s">
        <v>108</v>
      </c>
      <c r="B26" s="113" t="s">
        <v>136</v>
      </c>
      <c r="C26" s="114">
        <v>7549456</v>
      </c>
      <c r="D26" s="114">
        <f t="shared" si="4"/>
        <v>1497332</v>
      </c>
      <c r="E26" s="114">
        <v>1497332</v>
      </c>
      <c r="F26" s="115" t="s">
        <v>620</v>
      </c>
      <c r="G26" s="114">
        <v>0</v>
      </c>
      <c r="H26" s="115" t="s">
        <v>620</v>
      </c>
      <c r="I26" s="114">
        <v>9046788</v>
      </c>
      <c r="J26" s="114">
        <v>2397093</v>
      </c>
      <c r="K26" s="114">
        <v>9046788</v>
      </c>
      <c r="L26" s="114">
        <f t="shared" si="5"/>
        <v>0</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f>SUM(C21:C26)</f>
        <v>112438021</v>
      </c>
      <c r="D28" s="120">
        <f>SUM(D21:D26)</f>
        <v>17277703</v>
      </c>
      <c r="E28" s="120">
        <f>SUM(E21:E26)</f>
        <v>11952703</v>
      </c>
      <c r="F28" s="121"/>
      <c r="G28" s="120">
        <f>SUM(G21:G26)</f>
        <v>5325000</v>
      </c>
      <c r="H28" s="121"/>
      <c r="I28" s="120">
        <f>SUM(I21:I26)</f>
        <v>129715724</v>
      </c>
      <c r="J28" s="120">
        <f>SUM(J21:J26)</f>
        <v>36963900.649999999</v>
      </c>
      <c r="K28" s="120">
        <f>SUM(K21:K26)</f>
        <v>129715724</v>
      </c>
      <c r="L28" s="120">
        <f>SUM(L21:L26)</f>
        <v>0</v>
      </c>
      <c r="M28" s="117">
        <f t="shared" si="0"/>
        <v>0</v>
      </c>
      <c r="N28" s="61"/>
    </row>
    <row r="29" spans="1:14" s="62" customFormat="1" ht="18" customHeight="1">
      <c r="A29" s="122" t="s">
        <v>95</v>
      </c>
      <c r="B29" s="113" t="s">
        <v>167</v>
      </c>
      <c r="C29" s="114">
        <v>56126600</v>
      </c>
      <c r="D29" s="114">
        <f>E29+G29</f>
        <v>4967725</v>
      </c>
      <c r="E29" s="114">
        <v>4967725</v>
      </c>
      <c r="F29" s="115" t="s">
        <v>628</v>
      </c>
      <c r="G29" s="114">
        <v>0</v>
      </c>
      <c r="H29" s="115" t="s">
        <v>627</v>
      </c>
      <c r="I29" s="114">
        <v>61094325</v>
      </c>
      <c r="J29" s="114">
        <v>23314986.02999996</v>
      </c>
      <c r="K29" s="114">
        <v>61094325</v>
      </c>
      <c r="L29" s="114">
        <f>I29-K29</f>
        <v>0</v>
      </c>
      <c r="M29" s="117">
        <f t="shared" si="0"/>
        <v>0</v>
      </c>
      <c r="N29" s="61"/>
    </row>
    <row r="30" spans="1:14" s="62" customFormat="1" ht="18" customHeight="1">
      <c r="A30" s="122" t="s">
        <v>96</v>
      </c>
      <c r="B30" s="113" t="s">
        <v>109</v>
      </c>
      <c r="C30" s="114">
        <v>4221275</v>
      </c>
      <c r="D30" s="114">
        <f>E30+G30</f>
        <v>5193012</v>
      </c>
      <c r="E30" s="114">
        <v>5193012</v>
      </c>
      <c r="F30" s="115" t="s">
        <v>625</v>
      </c>
      <c r="G30" s="114">
        <v>0</v>
      </c>
      <c r="H30" s="115" t="s">
        <v>620</v>
      </c>
      <c r="I30" s="114">
        <v>9414287</v>
      </c>
      <c r="J30" s="114">
        <v>2239416.570000004</v>
      </c>
      <c r="K30" s="114">
        <v>9414287</v>
      </c>
      <c r="L30" s="114">
        <f>I30-K30</f>
        <v>0</v>
      </c>
      <c r="M30" s="117">
        <f t="shared" si="0"/>
        <v>0</v>
      </c>
      <c r="N30" s="61"/>
    </row>
    <row r="31" spans="1:14" s="62" customFormat="1" ht="18" customHeight="1">
      <c r="A31" s="122" t="s">
        <v>97</v>
      </c>
      <c r="B31" s="113" t="s">
        <v>168</v>
      </c>
      <c r="C31" s="114">
        <v>9399818</v>
      </c>
      <c r="D31" s="114">
        <f>E31+G31</f>
        <v>0</v>
      </c>
      <c r="E31" s="114">
        <v>0</v>
      </c>
      <c r="F31" s="115"/>
      <c r="G31" s="114">
        <v>0</v>
      </c>
      <c r="H31" s="115"/>
      <c r="I31" s="114">
        <v>9399818</v>
      </c>
      <c r="J31" s="114">
        <v>5543998.4100000011</v>
      </c>
      <c r="K31" s="114">
        <v>9399818</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f>SUM(C29:C31)</f>
        <v>69747693</v>
      </c>
      <c r="D33" s="120">
        <f>SUM(D29:D31)</f>
        <v>10160737</v>
      </c>
      <c r="E33" s="120">
        <f>SUM(E29:E31)</f>
        <v>10160737</v>
      </c>
      <c r="F33" s="121"/>
      <c r="G33" s="121">
        <f>SUM(G29:G31)</f>
        <v>0</v>
      </c>
      <c r="H33" s="121"/>
      <c r="I33" s="120">
        <f>SUM(I29:I31)</f>
        <v>79908430</v>
      </c>
      <c r="J33" s="120">
        <f>SUM(J29:J31)</f>
        <v>31098401.009999964</v>
      </c>
      <c r="K33" s="120">
        <f>SUM(K29:K31)</f>
        <v>79908430</v>
      </c>
      <c r="L33" s="120">
        <f>SUM(L29:L31)</f>
        <v>0</v>
      </c>
      <c r="M33" s="117">
        <f t="shared" si="0"/>
        <v>0</v>
      </c>
      <c r="N33" s="384"/>
    </row>
    <row r="34" spans="1:15" s="62" customFormat="1" ht="18" customHeight="1">
      <c r="A34" s="122" t="s">
        <v>98</v>
      </c>
      <c r="B34" s="125" t="s">
        <v>18</v>
      </c>
      <c r="C34" s="114">
        <v>29181784</v>
      </c>
      <c r="D34" s="114">
        <f>E34+G34</f>
        <v>-177124</v>
      </c>
      <c r="E34" s="114">
        <v>-177124</v>
      </c>
      <c r="F34" s="115" t="s">
        <v>196</v>
      </c>
      <c r="G34" s="114">
        <v>0</v>
      </c>
      <c r="H34" s="115"/>
      <c r="I34" s="114">
        <v>29004660</v>
      </c>
      <c r="J34" s="114">
        <v>11866055.439999985</v>
      </c>
      <c r="K34" s="114">
        <v>29004660</v>
      </c>
      <c r="L34" s="114">
        <f>I34-K34</f>
        <v>0</v>
      </c>
      <c r="M34" s="117">
        <f t="shared" si="0"/>
        <v>0</v>
      </c>
      <c r="N34" s="61"/>
    </row>
    <row r="35" spans="1:15" s="62" customFormat="1" ht="18" customHeight="1">
      <c r="A35" s="122" t="s">
        <v>252</v>
      </c>
      <c r="B35" s="125" t="s">
        <v>19</v>
      </c>
      <c r="C35" s="114">
        <v>15048297</v>
      </c>
      <c r="D35" s="114">
        <f>E35+G35</f>
        <v>-92424</v>
      </c>
      <c r="E35" s="114">
        <v>-92424</v>
      </c>
      <c r="F35" s="115" t="s">
        <v>196</v>
      </c>
      <c r="G35" s="114">
        <v>0</v>
      </c>
      <c r="H35" s="115"/>
      <c r="I35" s="114">
        <v>14955873</v>
      </c>
      <c r="J35" s="114">
        <v>5612173.1699999953</v>
      </c>
      <c r="K35" s="114">
        <v>14955873</v>
      </c>
      <c r="L35" s="114">
        <f>I35-K35</f>
        <v>0</v>
      </c>
      <c r="M35" s="117">
        <f t="shared" si="0"/>
        <v>0</v>
      </c>
      <c r="N35" s="61"/>
    </row>
    <row r="36" spans="1:15" s="62" customFormat="1" ht="18" customHeight="1">
      <c r="A36" s="122" t="s">
        <v>253</v>
      </c>
      <c r="B36" s="125" t="s">
        <v>20</v>
      </c>
      <c r="C36" s="114">
        <v>1220912</v>
      </c>
      <c r="D36" s="114">
        <f>E36+G36</f>
        <v>-7048</v>
      </c>
      <c r="E36" s="114">
        <v>-7048</v>
      </c>
      <c r="F36" s="115" t="s">
        <v>196</v>
      </c>
      <c r="G36" s="114">
        <v>0</v>
      </c>
      <c r="H36" s="115"/>
      <c r="I36" s="114">
        <v>1213864</v>
      </c>
      <c r="J36" s="114">
        <v>462779.36000000138</v>
      </c>
      <c r="K36" s="114">
        <v>1213864</v>
      </c>
      <c r="L36" s="114">
        <f>I36-K36</f>
        <v>0</v>
      </c>
      <c r="M36" s="117">
        <f t="shared" si="0"/>
        <v>0</v>
      </c>
      <c r="N36" s="61"/>
    </row>
    <row r="37" spans="1:15" s="62" customFormat="1" ht="18" customHeight="1">
      <c r="A37" s="122" t="s">
        <v>254</v>
      </c>
      <c r="B37" s="125" t="s">
        <v>21</v>
      </c>
      <c r="C37" s="114">
        <v>46183074</v>
      </c>
      <c r="D37" s="114">
        <f>E37+G37</f>
        <v>1345738</v>
      </c>
      <c r="E37" s="114">
        <v>1345738</v>
      </c>
      <c r="F37" s="115" t="s">
        <v>625</v>
      </c>
      <c r="G37" s="114">
        <v>0</v>
      </c>
      <c r="H37" s="115" t="s">
        <v>620</v>
      </c>
      <c r="I37" s="114">
        <v>47528812</v>
      </c>
      <c r="J37" s="114">
        <v>14636160.47999998</v>
      </c>
      <c r="K37" s="114">
        <v>47528812</v>
      </c>
      <c r="L37" s="114">
        <f>I37-K37</f>
        <v>0</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350</v>
      </c>
      <c r="B39" s="119"/>
      <c r="C39" s="120">
        <f>SUM(C34:C38)</f>
        <v>91634067</v>
      </c>
      <c r="D39" s="120">
        <f>SUM(D34:D38)</f>
        <v>1069142</v>
      </c>
      <c r="E39" s="120">
        <f>SUM(E34:E38)</f>
        <v>1069142</v>
      </c>
      <c r="F39" s="121"/>
      <c r="G39" s="121">
        <f>SUM(G34:G38)</f>
        <v>0</v>
      </c>
      <c r="H39" s="121"/>
      <c r="I39" s="120">
        <f>SUM(I34:I38)</f>
        <v>92703209</v>
      </c>
      <c r="J39" s="120">
        <f>SUM(J34:J38)</f>
        <v>32577168.449999966</v>
      </c>
      <c r="K39" s="120">
        <f>SUM(K34:K38)</f>
        <v>92703209</v>
      </c>
      <c r="L39" s="120">
        <f>SUM(L34:L38)</f>
        <v>0</v>
      </c>
      <c r="M39" s="117">
        <f>I39-C39-D39</f>
        <v>0</v>
      </c>
      <c r="N39" s="61"/>
    </row>
    <row r="40" spans="1:15" s="62" customFormat="1" ht="18" customHeight="1">
      <c r="A40" s="122" t="s">
        <v>99</v>
      </c>
      <c r="B40" s="123" t="s">
        <v>110</v>
      </c>
      <c r="C40" s="114">
        <v>27174151</v>
      </c>
      <c r="D40" s="114">
        <f>E40+G40</f>
        <v>5423602</v>
      </c>
      <c r="E40" s="114">
        <v>5423602</v>
      </c>
      <c r="F40" s="115" t="s">
        <v>543</v>
      </c>
      <c r="G40" s="114">
        <v>0</v>
      </c>
      <c r="H40" s="115"/>
      <c r="I40" s="114">
        <v>32597753</v>
      </c>
      <c r="J40" s="114">
        <v>9917010.6100000031</v>
      </c>
      <c r="K40" s="114">
        <v>32597753</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351</v>
      </c>
      <c r="B42" s="119"/>
      <c r="C42" s="120">
        <f>SUM(C40:C40)</f>
        <v>27174151</v>
      </c>
      <c r="D42" s="120">
        <f>SUM(D40:D40)</f>
        <v>5423602</v>
      </c>
      <c r="E42" s="120">
        <f>SUM(E40:E40)</f>
        <v>5423602</v>
      </c>
      <c r="F42" s="121"/>
      <c r="G42" s="120">
        <f>SUM(G40:G40)</f>
        <v>0</v>
      </c>
      <c r="H42" s="121"/>
      <c r="I42" s="120">
        <f>SUM(I40:I40)</f>
        <v>32597753</v>
      </c>
      <c r="J42" s="120">
        <f>SUM(J40:J40)</f>
        <v>9917010.6100000031</v>
      </c>
      <c r="K42" s="120">
        <f>SUM(K40:K40)</f>
        <v>32597753</v>
      </c>
      <c r="L42" s="120">
        <f>SUM(L40:L40)</f>
        <v>0</v>
      </c>
      <c r="M42" s="117">
        <f t="shared" si="0"/>
        <v>0</v>
      </c>
      <c r="N42" s="61"/>
    </row>
    <row r="43" spans="1:15" s="71" customFormat="1" ht="5.4" customHeight="1">
      <c r="A43" s="127"/>
      <c r="B43" s="128"/>
      <c r="C43" s="129"/>
      <c r="D43" s="129"/>
      <c r="E43" s="129"/>
      <c r="F43" s="130"/>
      <c r="G43" s="129"/>
      <c r="H43" s="130"/>
      <c r="I43" s="129"/>
      <c r="J43" s="129"/>
      <c r="K43" s="129"/>
      <c r="L43" s="129"/>
      <c r="M43" s="117"/>
      <c r="N43" s="61"/>
    </row>
    <row r="44" spans="1:15" s="71" customFormat="1" ht="18" customHeight="1">
      <c r="A44" s="122" t="s">
        <v>524</v>
      </c>
      <c r="B44" s="123" t="s">
        <v>525</v>
      </c>
      <c r="C44" s="114"/>
      <c r="D44" s="114">
        <f>E44+G44</f>
        <v>7689570</v>
      </c>
      <c r="E44" s="114">
        <v>7689570</v>
      </c>
      <c r="F44" s="115" t="s">
        <v>296</v>
      </c>
      <c r="G44" s="114">
        <v>0</v>
      </c>
      <c r="H44" s="115"/>
      <c r="I44" s="114">
        <v>7689570</v>
      </c>
      <c r="J44" s="114">
        <v>1600823.46</v>
      </c>
      <c r="K44" s="114">
        <v>7689570</v>
      </c>
      <c r="L44" s="114">
        <f>I44-K44</f>
        <v>0</v>
      </c>
      <c r="M44" s="117">
        <f t="shared" ref="M44:M46" si="6">I44-C44-D44</f>
        <v>0</v>
      </c>
      <c r="N44" s="61"/>
    </row>
    <row r="45" spans="1:15" s="73" customFormat="1" ht="7.5" customHeight="1">
      <c r="A45" s="122"/>
      <c r="B45" s="125"/>
      <c r="C45" s="114"/>
      <c r="D45" s="114"/>
      <c r="E45" s="114"/>
      <c r="F45" s="115"/>
      <c r="G45" s="115"/>
      <c r="H45" s="115"/>
      <c r="I45" s="114"/>
      <c r="J45" s="114"/>
      <c r="K45" s="114"/>
      <c r="L45" s="114"/>
      <c r="M45" s="117">
        <f t="shared" si="6"/>
        <v>0</v>
      </c>
      <c r="N45" s="70"/>
    </row>
    <row r="46" spans="1:15" s="71" customFormat="1" ht="18" customHeight="1">
      <c r="A46" s="118" t="s">
        <v>526</v>
      </c>
      <c r="B46" s="119"/>
      <c r="C46" s="120">
        <f>SUM(C44:C44)</f>
        <v>0</v>
      </c>
      <c r="D46" s="120">
        <f>SUM(D44:D44)</f>
        <v>7689570</v>
      </c>
      <c r="E46" s="120">
        <v>7689570</v>
      </c>
      <c r="F46" s="121"/>
      <c r="G46" s="120">
        <f>SUM(G44:G44)</f>
        <v>0</v>
      </c>
      <c r="H46" s="121"/>
      <c r="I46" s="120">
        <f>SUM(I44:I44)</f>
        <v>7689570</v>
      </c>
      <c r="J46" s="120">
        <f>SUM(J44:J44)</f>
        <v>1600823.46</v>
      </c>
      <c r="K46" s="120">
        <f>SUM(K44:K44)</f>
        <v>7689570</v>
      </c>
      <c r="L46" s="120">
        <f>SUM(L44:L44)</f>
        <v>0</v>
      </c>
      <c r="M46" s="117">
        <f t="shared" si="6"/>
        <v>0</v>
      </c>
      <c r="N46" s="61"/>
    </row>
    <row r="47" spans="1:15" s="74" customFormat="1" ht="18" customHeight="1">
      <c r="A47" s="127"/>
      <c r="B47" s="128"/>
      <c r="C47" s="129"/>
      <c r="D47" s="129"/>
      <c r="E47" s="129"/>
      <c r="F47" s="130"/>
      <c r="G47" s="129"/>
      <c r="H47" s="130"/>
      <c r="I47" s="129"/>
      <c r="J47" s="129"/>
      <c r="K47" s="129"/>
      <c r="L47" s="129"/>
      <c r="M47" s="117"/>
      <c r="N47" s="75"/>
      <c r="O47" s="75"/>
    </row>
    <row r="48" spans="1:15" s="74" customFormat="1" ht="18" customHeight="1">
      <c r="A48" s="127"/>
      <c r="B48" s="128"/>
      <c r="C48" s="129"/>
      <c r="D48" s="129"/>
      <c r="E48" s="129"/>
      <c r="F48" s="130"/>
      <c r="G48" s="130"/>
      <c r="H48" s="130"/>
      <c r="I48" s="129"/>
      <c r="J48" s="129"/>
      <c r="K48" s="129"/>
      <c r="L48" s="129"/>
      <c r="M48" s="117">
        <f t="shared" si="0"/>
        <v>0</v>
      </c>
    </row>
    <row r="49" spans="1:13" s="74" customFormat="1" ht="18" customHeight="1" thickBot="1">
      <c r="A49" s="131" t="s">
        <v>225</v>
      </c>
      <c r="B49" s="132"/>
      <c r="C49" s="386">
        <f>SUM(C42,C39,C33,C28,C20,C7,C44)</f>
        <v>2288660266</v>
      </c>
      <c r="D49" s="386">
        <f>SUM(D42,D39,D33,D28,D20,D7,D44)</f>
        <v>142013178</v>
      </c>
      <c r="E49" s="386">
        <f>SUM(E42,E39,E33,E28,E20,E7,E44)</f>
        <v>124613600</v>
      </c>
      <c r="F49" s="133"/>
      <c r="G49" s="386">
        <f>SUM(G42,G39,G33,G28,G20,G7,G44)</f>
        <v>17399578</v>
      </c>
      <c r="H49" s="133"/>
      <c r="I49" s="386">
        <f>SUM(I42,I39,I33,I28,I20,I7,I44)</f>
        <v>2430673444</v>
      </c>
      <c r="J49" s="386">
        <f>SUM(J42,J39,J33,J28,J20,J7,J44)</f>
        <v>938057651.11999774</v>
      </c>
      <c r="K49" s="386">
        <f>SUM(K42,K39,K33,K28,K20,K7,K44)</f>
        <v>2424009606</v>
      </c>
      <c r="L49" s="386">
        <f>SUM(L42,L39,L33,L28,L20,L7,L44)</f>
        <v>6663838</v>
      </c>
      <c r="M49" s="117">
        <f>I49-C49-D49</f>
        <v>0</v>
      </c>
    </row>
    <row r="50" spans="1:13" s="74" customFormat="1" ht="18" customHeight="1" thickTop="1">
      <c r="A50" s="134"/>
      <c r="B50" s="123"/>
      <c r="C50" s="114"/>
      <c r="D50" s="114"/>
      <c r="E50" s="114"/>
      <c r="F50" s="115"/>
      <c r="G50" s="114"/>
      <c r="H50" s="114"/>
      <c r="I50" s="114"/>
      <c r="J50" s="114"/>
      <c r="K50" s="114"/>
      <c r="L50" s="114"/>
      <c r="M50" s="117">
        <f t="shared" si="0"/>
        <v>0</v>
      </c>
    </row>
    <row r="51" spans="1:13" s="71" customFormat="1" ht="18" customHeight="1">
      <c r="A51" s="135" t="s">
        <v>48</v>
      </c>
      <c r="B51" s="123"/>
      <c r="C51" s="114"/>
      <c r="D51" s="114"/>
      <c r="E51" s="114"/>
      <c r="F51" s="115"/>
      <c r="G51" s="114"/>
      <c r="H51" s="114"/>
      <c r="I51" s="114"/>
      <c r="J51" s="114"/>
      <c r="K51" s="114"/>
      <c r="L51" s="114"/>
      <c r="M51" s="117">
        <f t="shared" si="0"/>
        <v>0</v>
      </c>
    </row>
    <row r="52" spans="1:13" s="74" customFormat="1" ht="18" customHeight="1">
      <c r="A52" s="126"/>
      <c r="B52" s="123" t="s">
        <v>4</v>
      </c>
      <c r="C52" s="114">
        <v>1327070267</v>
      </c>
      <c r="D52" s="114">
        <f>I52-C52</f>
        <v>22159385</v>
      </c>
      <c r="E52" s="114">
        <v>72584754</v>
      </c>
      <c r="F52" s="115"/>
      <c r="G52" s="114">
        <v>-50425369</v>
      </c>
      <c r="H52" s="115"/>
      <c r="I52" s="114">
        <v>1349229652</v>
      </c>
      <c r="J52" s="114">
        <v>363867754.81999451</v>
      </c>
      <c r="K52" s="114">
        <v>1365169056</v>
      </c>
      <c r="L52" s="114">
        <f>I52-K52</f>
        <v>-15939404</v>
      </c>
      <c r="M52" s="117">
        <f t="shared" si="0"/>
        <v>0</v>
      </c>
    </row>
    <row r="53" spans="1:13" s="74" customFormat="1" ht="18" customHeight="1">
      <c r="A53" s="126"/>
      <c r="B53" s="123" t="s">
        <v>5</v>
      </c>
      <c r="C53" s="114">
        <v>4285000</v>
      </c>
      <c r="D53" s="114">
        <f>I53-C53</f>
        <v>0</v>
      </c>
      <c r="E53" s="114">
        <v>0</v>
      </c>
      <c r="F53" s="115"/>
      <c r="G53" s="114">
        <v>0</v>
      </c>
      <c r="H53" s="115"/>
      <c r="I53" s="114">
        <v>4285000</v>
      </c>
      <c r="J53" s="114">
        <v>3073926.93</v>
      </c>
      <c r="K53" s="114">
        <v>4285000</v>
      </c>
      <c r="L53" s="114">
        <f>I53-K53</f>
        <v>0</v>
      </c>
      <c r="M53" s="117">
        <f>I53-C53-D53</f>
        <v>0</v>
      </c>
    </row>
    <row r="54" spans="1:13" s="71" customFormat="1" ht="18" customHeight="1">
      <c r="A54" s="136"/>
      <c r="B54" s="137" t="s">
        <v>49</v>
      </c>
      <c r="C54" s="114">
        <f>SUM(C52:C53)</f>
        <v>1331355267</v>
      </c>
      <c r="D54" s="114">
        <f>SUM(D51:D53)</f>
        <v>22159385</v>
      </c>
      <c r="E54" s="114">
        <v>72584754</v>
      </c>
      <c r="F54" s="115"/>
      <c r="G54" s="114">
        <f>SUM(G52:G53)</f>
        <v>-50425369</v>
      </c>
      <c r="H54" s="115"/>
      <c r="I54" s="114">
        <f>SUM(I52:I53)</f>
        <v>1353514652</v>
      </c>
      <c r="J54" s="114">
        <f>SUM(J52:J53)</f>
        <v>366941681.74999452</v>
      </c>
      <c r="K54" s="114">
        <f>SUM(K52:K53)</f>
        <v>1369454056</v>
      </c>
      <c r="L54" s="114">
        <f>I54-K54</f>
        <v>-15939404</v>
      </c>
      <c r="M54" s="117">
        <f t="shared" si="0"/>
        <v>0</v>
      </c>
    </row>
    <row r="55" spans="1:13" s="74" customFormat="1" ht="18" customHeight="1">
      <c r="A55" s="126"/>
      <c r="B55" s="123" t="s">
        <v>6</v>
      </c>
      <c r="C55" s="114">
        <v>949927249</v>
      </c>
      <c r="D55" s="114">
        <f>I55-C55</f>
        <v>117763805</v>
      </c>
      <c r="E55" s="114">
        <v>49938858</v>
      </c>
      <c r="F55" s="115"/>
      <c r="G55" s="114">
        <v>67824947</v>
      </c>
      <c r="H55" s="115"/>
      <c r="I55" s="114">
        <v>1067691054</v>
      </c>
      <c r="J55" s="114">
        <v>566870378.51999068</v>
      </c>
      <c r="K55" s="114">
        <v>1045087812</v>
      </c>
      <c r="L55" s="114">
        <f>I55-K55</f>
        <v>22603242</v>
      </c>
      <c r="M55" s="117">
        <f>I55-C55-D55</f>
        <v>0</v>
      </c>
    </row>
    <row r="56" spans="1:13" s="69" customFormat="1" ht="18" customHeight="1">
      <c r="A56" s="126"/>
      <c r="B56" s="123" t="s">
        <v>34</v>
      </c>
      <c r="C56" s="114">
        <v>7377750</v>
      </c>
      <c r="D56" s="114">
        <f>I56-C56</f>
        <v>2089988</v>
      </c>
      <c r="E56" s="114">
        <v>2089988</v>
      </c>
      <c r="F56" s="115"/>
      <c r="G56" s="114">
        <v>0</v>
      </c>
      <c r="H56" s="115"/>
      <c r="I56" s="114">
        <v>9467738</v>
      </c>
      <c r="J56" s="114">
        <v>4245590.8500000034</v>
      </c>
      <c r="K56" s="114">
        <v>9467738</v>
      </c>
      <c r="L56" s="114">
        <f>I56-K56</f>
        <v>0</v>
      </c>
      <c r="M56" s="117">
        <f t="shared" si="0"/>
        <v>0</v>
      </c>
    </row>
    <row r="57" spans="1:13" s="69" customFormat="1" ht="18" customHeight="1">
      <c r="A57" s="118" t="s">
        <v>35</v>
      </c>
      <c r="B57" s="138"/>
      <c r="C57" s="120">
        <f>SUM(C54:C56)</f>
        <v>2288660266</v>
      </c>
      <c r="D57" s="120">
        <f>SUM(D54:D56)</f>
        <v>142013178</v>
      </c>
      <c r="E57" s="120">
        <f>SUM(E54:E56)</f>
        <v>124613600</v>
      </c>
      <c r="F57" s="313"/>
      <c r="G57" s="120">
        <f>SUM(G54:G56)</f>
        <v>17399578</v>
      </c>
      <c r="H57" s="313"/>
      <c r="I57" s="120">
        <f>SUM(I54:I56)</f>
        <v>2430673444</v>
      </c>
      <c r="J57" s="120">
        <f>SUM(J54:J56)</f>
        <v>938057651.11998522</v>
      </c>
      <c r="K57" s="120">
        <f>SUM(K54:K56)</f>
        <v>2424009606</v>
      </c>
      <c r="L57" s="120">
        <f>SUM(L54:L56)</f>
        <v>6663838</v>
      </c>
      <c r="M57" s="117">
        <f>I57-C57-D57</f>
        <v>0</v>
      </c>
    </row>
    <row r="58" spans="1:13" s="69" customFormat="1" ht="18" customHeight="1">
      <c r="A58" s="139"/>
      <c r="B58" s="139"/>
      <c r="C58" s="140"/>
      <c r="D58" s="140"/>
      <c r="E58" s="140"/>
      <c r="F58" s="141"/>
      <c r="G58" s="141"/>
      <c r="H58" s="141"/>
      <c r="I58" s="140"/>
      <c r="J58" s="140"/>
      <c r="K58" s="140"/>
      <c r="L58" s="140"/>
      <c r="M58" s="142"/>
    </row>
    <row r="59" spans="1:13" s="69" customFormat="1" ht="18" customHeight="1">
      <c r="A59" s="145" t="s">
        <v>177</v>
      </c>
      <c r="B59" s="146" t="s">
        <v>546</v>
      </c>
      <c r="C59" s="149"/>
      <c r="D59" s="149"/>
      <c r="E59" s="420"/>
      <c r="F59" s="149"/>
      <c r="G59" s="144"/>
      <c r="H59" s="144"/>
      <c r="I59" s="143"/>
      <c r="J59" s="143"/>
      <c r="K59" s="143"/>
      <c r="L59" s="64"/>
      <c r="M59" s="64"/>
    </row>
    <row r="60" spans="1:13" s="69" customFormat="1" ht="18" customHeight="1">
      <c r="A60" s="145" t="s">
        <v>196</v>
      </c>
      <c r="B60" s="146" t="s">
        <v>522</v>
      </c>
      <c r="C60" s="149"/>
      <c r="D60" s="149"/>
      <c r="E60" s="149"/>
      <c r="F60" s="149"/>
      <c r="G60" s="144"/>
      <c r="H60" s="144"/>
      <c r="I60" s="143"/>
      <c r="J60" s="143"/>
      <c r="K60" s="143"/>
      <c r="L60" s="64"/>
      <c r="M60" s="64"/>
    </row>
    <row r="61" spans="1:13" s="69" customFormat="1" ht="18" customHeight="1">
      <c r="A61" s="145" t="s">
        <v>193</v>
      </c>
      <c r="B61" s="146" t="s">
        <v>523</v>
      </c>
      <c r="C61" s="149"/>
      <c r="D61" s="149"/>
      <c r="E61" s="149"/>
      <c r="F61" s="149"/>
      <c r="G61" s="144"/>
      <c r="H61" s="144"/>
      <c r="I61" s="143"/>
      <c r="J61" s="143"/>
      <c r="K61" s="143"/>
      <c r="L61" s="64"/>
      <c r="M61" s="64"/>
    </row>
    <row r="62" spans="1:13" s="69" customFormat="1" ht="18" customHeight="1">
      <c r="A62" s="145" t="s">
        <v>194</v>
      </c>
      <c r="B62" s="146" t="s">
        <v>539</v>
      </c>
      <c r="C62" s="147"/>
      <c r="D62" s="147"/>
      <c r="E62" s="147"/>
      <c r="F62" s="148"/>
      <c r="G62" s="144"/>
      <c r="H62" s="144"/>
      <c r="I62" s="143"/>
      <c r="J62" s="143"/>
      <c r="K62" s="143"/>
      <c r="L62" s="143"/>
      <c r="M62" s="64"/>
    </row>
    <row r="63" spans="1:13" s="69" customFormat="1" ht="18" customHeight="1">
      <c r="A63" s="145" t="s">
        <v>296</v>
      </c>
      <c r="B63" s="146" t="s">
        <v>540</v>
      </c>
      <c r="C63" s="147"/>
      <c r="D63" s="147"/>
      <c r="E63" s="147"/>
      <c r="F63" s="148"/>
      <c r="G63" s="144"/>
      <c r="H63" s="144"/>
      <c r="I63" s="143"/>
      <c r="J63" s="517"/>
      <c r="K63" s="143"/>
      <c r="L63" s="143"/>
      <c r="M63" s="64"/>
    </row>
    <row r="64" spans="1:13" s="69" customFormat="1" ht="18" customHeight="1">
      <c r="A64" s="145" t="s">
        <v>197</v>
      </c>
      <c r="B64" s="146" t="s">
        <v>541</v>
      </c>
      <c r="C64" s="147"/>
      <c r="D64" s="147"/>
      <c r="E64" s="147"/>
      <c r="F64" s="148"/>
      <c r="G64" s="144"/>
      <c r="H64" s="144"/>
      <c r="I64" s="143"/>
      <c r="J64" s="517"/>
      <c r="K64" s="143"/>
      <c r="L64" s="143"/>
      <c r="M64" s="64"/>
    </row>
    <row r="65" spans="1:13" s="69" customFormat="1" ht="18" customHeight="1">
      <c r="A65" s="145" t="s">
        <v>236</v>
      </c>
      <c r="B65" s="146" t="s">
        <v>542</v>
      </c>
      <c r="C65" s="149"/>
      <c r="D65" s="149"/>
      <c r="E65" s="149"/>
      <c r="F65" s="149"/>
      <c r="G65" s="144"/>
      <c r="H65" s="144"/>
      <c r="I65" s="143"/>
      <c r="J65" s="143"/>
      <c r="K65" s="143"/>
      <c r="L65" s="143"/>
      <c r="M65" s="64"/>
    </row>
    <row r="66" spans="1:13" s="69" customFormat="1" ht="18" customHeight="1">
      <c r="A66" s="145" t="s">
        <v>157</v>
      </c>
      <c r="B66" s="146" t="s">
        <v>570</v>
      </c>
      <c r="C66" s="149"/>
      <c r="D66" s="149"/>
      <c r="E66" s="149"/>
      <c r="F66" s="149"/>
      <c r="G66" s="144"/>
      <c r="H66" s="144"/>
      <c r="I66" s="143"/>
      <c r="J66" s="143"/>
      <c r="K66" s="143"/>
      <c r="L66" s="143"/>
      <c r="M66" s="64"/>
    </row>
    <row r="67" spans="1:13" s="69" customFormat="1" ht="18" customHeight="1">
      <c r="A67" s="145" t="s">
        <v>366</v>
      </c>
      <c r="B67" s="146" t="s">
        <v>618</v>
      </c>
      <c r="C67" s="149"/>
      <c r="D67" s="149"/>
      <c r="E67" s="149"/>
      <c r="F67" s="149"/>
      <c r="G67" s="144"/>
      <c r="H67" s="144"/>
      <c r="I67" s="143"/>
      <c r="J67" s="143"/>
      <c r="K67" s="143"/>
      <c r="L67" s="143"/>
      <c r="M67" s="64"/>
    </row>
    <row r="68" spans="1:13" s="69" customFormat="1" ht="18" customHeight="1">
      <c r="A68" s="145" t="s">
        <v>617</v>
      </c>
      <c r="B68" s="146" t="s">
        <v>619</v>
      </c>
      <c r="C68" s="149"/>
      <c r="D68" s="149"/>
      <c r="E68" s="149"/>
      <c r="F68" s="149"/>
      <c r="G68" s="144"/>
      <c r="H68" s="144"/>
      <c r="I68" s="143"/>
      <c r="J68" s="143"/>
      <c r="K68" s="143"/>
      <c r="L68" s="143"/>
      <c r="M68" s="64"/>
    </row>
    <row r="69" spans="1:13" s="69" customFormat="1" ht="18" customHeight="1">
      <c r="A69" s="145" t="s">
        <v>480</v>
      </c>
      <c r="B69" s="146" t="s">
        <v>482</v>
      </c>
      <c r="C69" s="149"/>
      <c r="D69" s="149"/>
      <c r="E69" s="149"/>
      <c r="F69" s="149"/>
      <c r="G69" s="144"/>
      <c r="H69" s="144"/>
      <c r="I69" s="143"/>
      <c r="J69" s="143"/>
      <c r="K69" s="143"/>
      <c r="L69" s="143"/>
      <c r="M69" s="64"/>
    </row>
    <row r="70" spans="1:13" s="69" customFormat="1" ht="18" customHeight="1">
      <c r="A70" s="145"/>
      <c r="B70" s="146"/>
      <c r="C70" s="149"/>
      <c r="D70" s="149"/>
      <c r="E70" s="149"/>
      <c r="F70" s="149"/>
      <c r="G70" s="144"/>
      <c r="H70" s="144"/>
      <c r="I70" s="143"/>
      <c r="J70" s="143"/>
      <c r="K70" s="143"/>
      <c r="L70" s="143"/>
      <c r="M70" s="64"/>
    </row>
    <row r="71" spans="1:13" s="69" customFormat="1" ht="18" customHeight="1">
      <c r="A71" s="145"/>
      <c r="B71" s="146"/>
      <c r="C71" s="149"/>
      <c r="D71" s="149"/>
      <c r="E71" s="149"/>
      <c r="F71" s="149"/>
      <c r="G71" s="144"/>
      <c r="H71" s="144"/>
      <c r="I71" s="143"/>
      <c r="J71" s="143"/>
      <c r="K71" s="143"/>
      <c r="L71" s="143"/>
      <c r="M71" s="64"/>
    </row>
    <row r="72" spans="1:13" s="69" customFormat="1" ht="18" customHeight="1">
      <c r="A72" s="145"/>
      <c r="B72" s="146"/>
      <c r="C72" s="147"/>
      <c r="D72" s="147"/>
      <c r="E72" s="147"/>
      <c r="F72" s="148"/>
      <c r="G72" s="144"/>
      <c r="H72" s="144"/>
      <c r="I72" s="143"/>
      <c r="J72" s="143"/>
      <c r="K72" s="143"/>
      <c r="L72" s="143"/>
      <c r="M72" s="64"/>
    </row>
    <row r="73" spans="1:13" s="69" customFormat="1" ht="18" customHeight="1">
      <c r="A73" s="145"/>
      <c r="B73" s="146"/>
      <c r="C73" s="147"/>
      <c r="D73" s="147"/>
      <c r="E73" s="147"/>
      <c r="F73" s="148"/>
      <c r="G73" s="144"/>
      <c r="H73" s="144"/>
      <c r="I73" s="143"/>
      <c r="J73" s="143"/>
      <c r="K73" s="143"/>
      <c r="L73" s="143"/>
      <c r="M73" s="64"/>
    </row>
    <row r="74" spans="1:13" s="69" customFormat="1" ht="18" customHeight="1">
      <c r="A74" s="145"/>
      <c r="B74" s="146"/>
      <c r="C74" s="147"/>
      <c r="D74" s="147"/>
      <c r="E74" s="147"/>
      <c r="F74" s="148"/>
      <c r="G74" s="144"/>
      <c r="H74" s="144"/>
      <c r="I74" s="143"/>
      <c r="J74" s="143"/>
      <c r="K74" s="143"/>
      <c r="L74" s="143"/>
      <c r="M74" s="64"/>
    </row>
    <row r="75" spans="1:13" s="69" customFormat="1" ht="18" customHeight="1">
      <c r="A75" s="145"/>
      <c r="B75" s="146"/>
      <c r="C75" s="147"/>
      <c r="D75" s="147"/>
      <c r="E75" s="147"/>
      <c r="F75" s="148"/>
      <c r="G75" s="144"/>
      <c r="H75" s="144"/>
      <c r="I75" s="143"/>
      <c r="J75" s="143"/>
      <c r="K75" s="143"/>
      <c r="L75" s="143"/>
      <c r="M75" s="64"/>
    </row>
    <row r="76" spans="1:13" s="69" customFormat="1" ht="18" customHeight="1">
      <c r="A76" s="441"/>
      <c r="B76" s="146"/>
      <c r="C76" s="147"/>
      <c r="D76" s="147"/>
      <c r="E76" s="147"/>
      <c r="F76" s="148"/>
      <c r="G76" s="144"/>
      <c r="H76" s="144"/>
      <c r="I76" s="143"/>
      <c r="J76" s="143"/>
      <c r="K76" s="143"/>
      <c r="L76" s="143"/>
      <c r="M76" s="64"/>
    </row>
    <row r="77" spans="1:13" s="69" customFormat="1" ht="18" customHeight="1">
      <c r="A77" s="145"/>
      <c r="B77" s="146"/>
      <c r="C77" s="147"/>
      <c r="D77" s="147"/>
      <c r="E77" s="147"/>
      <c r="F77" s="148"/>
      <c r="G77" s="144"/>
      <c r="H77" s="144"/>
      <c r="I77" s="143"/>
      <c r="J77" s="143"/>
      <c r="K77" s="143"/>
      <c r="L77" s="143"/>
      <c r="M77" s="64"/>
    </row>
    <row r="78" spans="1:13" s="69" customFormat="1" ht="18" customHeight="1">
      <c r="A78" s="145"/>
      <c r="B78" s="146"/>
      <c r="C78" s="76"/>
      <c r="D78" s="76"/>
      <c r="E78" s="76"/>
      <c r="F78" s="77"/>
      <c r="G78" s="77"/>
      <c r="H78" s="77"/>
      <c r="I78" s="76"/>
      <c r="J78" s="76"/>
      <c r="K78" s="76"/>
      <c r="L78" s="76"/>
      <c r="M78" s="68"/>
    </row>
    <row r="79" spans="1:13" s="69" customFormat="1" ht="18" customHeight="1">
      <c r="A79" s="145"/>
      <c r="B79" s="146"/>
      <c r="C79" s="76"/>
      <c r="D79" s="76"/>
      <c r="E79" s="76"/>
      <c r="F79" s="77"/>
      <c r="G79" s="77"/>
      <c r="H79" s="77"/>
      <c r="I79" s="76"/>
      <c r="J79" s="76"/>
      <c r="K79" s="76"/>
      <c r="L79" s="76"/>
      <c r="M79" s="68"/>
    </row>
    <row r="80" spans="1:13" s="69" customFormat="1" ht="18" customHeight="1">
      <c r="A80" s="382"/>
      <c r="B80" s="146"/>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s="69" customFormat="1" ht="18" customHeight="1">
      <c r="C100" s="76"/>
      <c r="D100" s="76"/>
      <c r="E100" s="76"/>
      <c r="F100" s="77"/>
      <c r="G100" s="77"/>
      <c r="H100" s="77"/>
      <c r="I100" s="76"/>
      <c r="J100" s="76"/>
      <c r="K100" s="76"/>
      <c r="L100" s="76"/>
      <c r="M100" s="68"/>
    </row>
    <row r="101" spans="1:13" s="69" customFormat="1" ht="18" customHeight="1">
      <c r="C101" s="76"/>
      <c r="D101" s="76"/>
      <c r="E101" s="76"/>
      <c r="F101" s="77"/>
      <c r="G101" s="77"/>
      <c r="H101" s="77"/>
      <c r="I101" s="76"/>
      <c r="J101" s="76"/>
      <c r="K101" s="76"/>
      <c r="L101" s="76"/>
      <c r="M101" s="68"/>
    </row>
    <row r="102" spans="1:13" ht="18" customHeight="1">
      <c r="A102" s="69"/>
      <c r="B102" s="69"/>
      <c r="C102" s="76"/>
      <c r="D102" s="76"/>
      <c r="E102" s="76"/>
      <c r="F102" s="77"/>
      <c r="G102" s="77"/>
      <c r="H102" s="77"/>
      <c r="I102" s="76"/>
      <c r="J102" s="76"/>
      <c r="K102" s="76"/>
      <c r="L102" s="76"/>
      <c r="M102" s="68"/>
    </row>
    <row r="103" spans="1:13" ht="18" customHeight="1">
      <c r="A103" s="69"/>
      <c r="B103" s="69"/>
      <c r="C103" s="76"/>
      <c r="D103" s="76"/>
      <c r="E103" s="76"/>
      <c r="F103" s="77"/>
      <c r="G103" s="77"/>
      <c r="H103" s="77"/>
      <c r="I103" s="76"/>
      <c r="J103" s="76"/>
      <c r="K103" s="76"/>
      <c r="L103" s="76"/>
      <c r="M103" s="68"/>
    </row>
    <row r="104" spans="1:13" ht="18" customHeight="1">
      <c r="A104" s="69"/>
      <c r="B104" s="69"/>
      <c r="C104" s="76"/>
      <c r="D104" s="76"/>
      <c r="E104" s="76"/>
      <c r="F104" s="77"/>
      <c r="G104" s="77"/>
      <c r="H104" s="77"/>
      <c r="I104" s="76"/>
      <c r="J104" s="76"/>
      <c r="K104" s="76"/>
      <c r="L104" s="76"/>
      <c r="M104" s="68"/>
    </row>
  </sheetData>
  <mergeCells count="3">
    <mergeCell ref="A1:L1"/>
    <mergeCell ref="A2:L2"/>
    <mergeCell ref="A3:L3"/>
  </mergeCells>
  <phoneticPr fontId="115"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61"/>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A4" sqref="A4:B4"/>
    </sheetView>
  </sheetViews>
  <sheetFormatPr defaultColWidth="9.109375" defaultRowHeight="15.6"/>
  <cols>
    <col min="1" max="1" width="14.88671875" style="292"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c r="A2" s="270" t="s">
        <v>498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6.2" thickBot="1">
      <c r="A3" s="272" t="s">
        <v>614</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3"/>
      <c r="AE3" s="273"/>
      <c r="AF3" s="273"/>
      <c r="AG3" s="273"/>
      <c r="AH3" s="273"/>
      <c r="AI3" s="273"/>
      <c r="AJ3" s="273"/>
      <c r="AK3" s="273"/>
      <c r="AL3" s="273"/>
      <c r="AM3" s="273"/>
      <c r="AN3" s="273"/>
      <c r="AO3" s="273"/>
      <c r="AP3" s="273"/>
      <c r="AQ3" s="273"/>
      <c r="AR3" s="273"/>
      <c r="AS3" s="273"/>
      <c r="AT3" s="273"/>
      <c r="AU3" s="273"/>
    </row>
    <row r="4" spans="1:47">
      <c r="A4" s="625"/>
      <c r="B4" s="626"/>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6" t="s">
        <v>524</v>
      </c>
      <c r="AD4" s="278" t="s">
        <v>151</v>
      </c>
    </row>
    <row r="5" spans="1:47" ht="47.4" thickBot="1">
      <c r="A5" s="627" t="s">
        <v>0</v>
      </c>
      <c r="B5" s="628"/>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1" t="s">
        <v>525</v>
      </c>
      <c r="AD5" s="283"/>
    </row>
    <row r="6" spans="1:47" ht="16.2" thickBot="1">
      <c r="A6" s="449"/>
      <c r="B6" s="503" t="s">
        <v>496</v>
      </c>
      <c r="C6" s="450">
        <v>30040791</v>
      </c>
      <c r="D6" s="450">
        <v>838865626</v>
      </c>
      <c r="E6" s="450">
        <v>76264000</v>
      </c>
      <c r="F6" s="450">
        <v>60456246</v>
      </c>
      <c r="G6" s="450">
        <v>12267559</v>
      </c>
      <c r="H6" s="450">
        <v>6415701</v>
      </c>
      <c r="I6" s="450">
        <v>9699710</v>
      </c>
      <c r="J6" s="450">
        <v>13597190</v>
      </c>
      <c r="K6" s="450">
        <v>37901842</v>
      </c>
      <c r="L6" s="450">
        <v>562747488</v>
      </c>
      <c r="M6" s="450">
        <v>314739184</v>
      </c>
      <c r="N6" s="450">
        <v>24670997</v>
      </c>
      <c r="O6" s="450">
        <v>24412360</v>
      </c>
      <c r="P6" s="450">
        <v>8922558</v>
      </c>
      <c r="Q6" s="450">
        <v>4548914</v>
      </c>
      <c r="R6" s="450">
        <v>30164830</v>
      </c>
      <c r="S6" s="450">
        <v>36839903</v>
      </c>
      <c r="T6" s="450">
        <v>7549456</v>
      </c>
      <c r="U6" s="450">
        <v>56126600</v>
      </c>
      <c r="V6" s="450">
        <v>4221275</v>
      </c>
      <c r="W6" s="450">
        <v>9399818</v>
      </c>
      <c r="X6" s="450">
        <v>29181784</v>
      </c>
      <c r="Y6" s="450">
        <v>15048297</v>
      </c>
      <c r="Z6" s="450">
        <v>1220912</v>
      </c>
      <c r="AA6" s="450">
        <v>46183074</v>
      </c>
      <c r="AB6" s="450">
        <v>27174151</v>
      </c>
      <c r="AC6" s="450">
        <v>0</v>
      </c>
      <c r="AD6" s="451">
        <f>SUM(C6:AC6)</f>
        <v>2288660266</v>
      </c>
      <c r="AF6" s="84"/>
    </row>
    <row r="7" spans="1:47">
      <c r="A7" s="500" t="s">
        <v>177</v>
      </c>
      <c r="B7" s="504" t="s">
        <v>546</v>
      </c>
      <c r="C7" s="284">
        <v>0</v>
      </c>
      <c r="D7" s="284">
        <v>0</v>
      </c>
      <c r="E7" s="284">
        <v>0</v>
      </c>
      <c r="F7" s="284">
        <v>0</v>
      </c>
      <c r="G7" s="284">
        <v>0</v>
      </c>
      <c r="H7" s="284">
        <v>0</v>
      </c>
      <c r="I7" s="284">
        <v>0</v>
      </c>
      <c r="J7" s="284">
        <v>0</v>
      </c>
      <c r="K7" s="284">
        <v>0</v>
      </c>
      <c r="L7" s="284">
        <v>55000000</v>
      </c>
      <c r="M7" s="284">
        <v>0</v>
      </c>
      <c r="N7" s="284">
        <v>0</v>
      </c>
      <c r="O7" s="284">
        <v>0</v>
      </c>
      <c r="P7" s="284">
        <v>0</v>
      </c>
      <c r="Q7" s="284">
        <v>0</v>
      </c>
      <c r="R7" s="284">
        <v>0</v>
      </c>
      <c r="S7" s="284">
        <v>0</v>
      </c>
      <c r="T7" s="284">
        <v>0</v>
      </c>
      <c r="U7" s="284">
        <v>0</v>
      </c>
      <c r="V7" s="284">
        <v>0</v>
      </c>
      <c r="W7" s="284">
        <v>0</v>
      </c>
      <c r="X7" s="284">
        <v>0</v>
      </c>
      <c r="Y7" s="284">
        <v>0</v>
      </c>
      <c r="Z7" s="284">
        <v>0</v>
      </c>
      <c r="AA7" s="284">
        <v>0</v>
      </c>
      <c r="AB7" s="284">
        <v>0</v>
      </c>
      <c r="AC7" s="284">
        <v>0</v>
      </c>
      <c r="AD7" s="285">
        <f t="shared" ref="AD7" si="0">SUM(C7:AC7)</f>
        <v>55000000</v>
      </c>
      <c r="AF7" s="84"/>
    </row>
    <row r="8" spans="1:47">
      <c r="A8" s="501" t="s">
        <v>196</v>
      </c>
      <c r="B8" s="286" t="s">
        <v>522</v>
      </c>
      <c r="C8" s="284">
        <v>-69990</v>
      </c>
      <c r="D8" s="284">
        <v>-6360765</v>
      </c>
      <c r="E8" s="284">
        <v>476335</v>
      </c>
      <c r="F8" s="284">
        <v>0</v>
      </c>
      <c r="G8" s="284">
        <v>0</v>
      </c>
      <c r="H8" s="284">
        <v>0</v>
      </c>
      <c r="I8" s="284">
        <v>0</v>
      </c>
      <c r="J8" s="284">
        <v>0</v>
      </c>
      <c r="K8" s="284">
        <v>103428</v>
      </c>
      <c r="L8" s="284">
        <v>0</v>
      </c>
      <c r="M8" s="284">
        <v>0</v>
      </c>
      <c r="N8" s="284">
        <v>0</v>
      </c>
      <c r="O8" s="284">
        <v>0</v>
      </c>
      <c r="P8" s="284">
        <v>0</v>
      </c>
      <c r="Q8" s="284">
        <v>0</v>
      </c>
      <c r="R8" s="284">
        <v>0</v>
      </c>
      <c r="S8" s="284">
        <v>0</v>
      </c>
      <c r="T8" s="284">
        <v>0</v>
      </c>
      <c r="U8" s="284">
        <v>287880</v>
      </c>
      <c r="V8" s="284">
        <v>13981</v>
      </c>
      <c r="W8" s="284">
        <v>0</v>
      </c>
      <c r="X8" s="284">
        <v>-177124</v>
      </c>
      <c r="Y8" s="284">
        <v>-92424</v>
      </c>
      <c r="Z8" s="284">
        <v>-7048</v>
      </c>
      <c r="AA8" s="284">
        <v>-173166</v>
      </c>
      <c r="AB8" s="284">
        <v>-220358</v>
      </c>
      <c r="AC8" s="284" t="s">
        <v>469</v>
      </c>
      <c r="AD8" s="285">
        <f t="shared" ref="AD8:AD18" si="1">SUM(C8:AC8)</f>
        <v>-6219251</v>
      </c>
    </row>
    <row r="9" spans="1:47">
      <c r="A9" s="502" t="s">
        <v>193</v>
      </c>
      <c r="B9" s="286" t="s">
        <v>523</v>
      </c>
      <c r="C9" s="284">
        <v>0</v>
      </c>
      <c r="D9" s="284">
        <v>3873</v>
      </c>
      <c r="E9" s="284">
        <v>3530419</v>
      </c>
      <c r="F9" s="284">
        <v>0</v>
      </c>
      <c r="G9" s="284">
        <v>0</v>
      </c>
      <c r="H9" s="284">
        <v>0</v>
      </c>
      <c r="I9" s="284">
        <v>-1240992</v>
      </c>
      <c r="J9" s="284">
        <v>0</v>
      </c>
      <c r="K9" s="284">
        <v>361758</v>
      </c>
      <c r="L9" s="284">
        <v>0</v>
      </c>
      <c r="M9" s="284">
        <v>0</v>
      </c>
      <c r="N9" s="284">
        <v>0</v>
      </c>
      <c r="O9" s="284">
        <v>1406261</v>
      </c>
      <c r="P9" s="284">
        <v>-500000</v>
      </c>
      <c r="Q9" s="284">
        <v>1763499</v>
      </c>
      <c r="R9" s="284">
        <v>0</v>
      </c>
      <c r="S9" s="284">
        <v>329438</v>
      </c>
      <c r="T9" s="284">
        <v>350071</v>
      </c>
      <c r="U9" s="284">
        <v>0</v>
      </c>
      <c r="V9" s="284">
        <v>0</v>
      </c>
      <c r="W9" s="284">
        <v>0</v>
      </c>
      <c r="X9" s="284">
        <v>0</v>
      </c>
      <c r="Y9" s="284">
        <v>0</v>
      </c>
      <c r="Z9" s="284">
        <v>0</v>
      </c>
      <c r="AA9" s="284">
        <v>650096</v>
      </c>
      <c r="AB9" s="284">
        <v>0</v>
      </c>
      <c r="AC9" s="284">
        <v>0</v>
      </c>
      <c r="AD9" s="285">
        <f t="shared" si="1"/>
        <v>6654423</v>
      </c>
    </row>
    <row r="10" spans="1:47">
      <c r="A10" s="500" t="s">
        <v>194</v>
      </c>
      <c r="B10" s="286" t="s">
        <v>539</v>
      </c>
      <c r="C10" s="284">
        <v>0</v>
      </c>
      <c r="D10" s="284">
        <v>-381366</v>
      </c>
      <c r="E10" s="284">
        <v>2353324</v>
      </c>
      <c r="F10" s="284">
        <v>0</v>
      </c>
      <c r="G10" s="284">
        <v>0</v>
      </c>
      <c r="H10" s="284">
        <v>0</v>
      </c>
      <c r="I10" s="284">
        <v>0</v>
      </c>
      <c r="J10" s="284">
        <v>0</v>
      </c>
      <c r="K10" s="284">
        <v>0</v>
      </c>
      <c r="L10" s="284">
        <v>0</v>
      </c>
      <c r="M10" s="284">
        <v>0</v>
      </c>
      <c r="N10" s="284">
        <v>0</v>
      </c>
      <c r="O10" s="284">
        <v>0</v>
      </c>
      <c r="P10" s="284">
        <v>0</v>
      </c>
      <c r="Q10" s="284">
        <v>0</v>
      </c>
      <c r="R10" s="284">
        <v>100000</v>
      </c>
      <c r="S10" s="284">
        <v>0</v>
      </c>
      <c r="T10" s="284">
        <v>0</v>
      </c>
      <c r="U10" s="284">
        <v>-6326</v>
      </c>
      <c r="V10" s="284">
        <v>0</v>
      </c>
      <c r="W10" s="284">
        <v>0</v>
      </c>
      <c r="X10" s="284">
        <v>0</v>
      </c>
      <c r="Y10" s="284">
        <v>0</v>
      </c>
      <c r="Z10" s="284">
        <v>0</v>
      </c>
      <c r="AA10" s="284">
        <v>0</v>
      </c>
      <c r="AB10" s="284">
        <v>0</v>
      </c>
      <c r="AC10" s="284">
        <v>0</v>
      </c>
      <c r="AD10" s="285">
        <f t="shared" si="1"/>
        <v>2065632</v>
      </c>
    </row>
    <row r="11" spans="1:47">
      <c r="A11" s="461" t="s">
        <v>157</v>
      </c>
      <c r="B11" s="504" t="s">
        <v>570</v>
      </c>
      <c r="C11" s="284">
        <v>0</v>
      </c>
      <c r="D11" s="284">
        <v>0</v>
      </c>
      <c r="E11" s="284">
        <v>0</v>
      </c>
      <c r="F11" s="284">
        <v>0</v>
      </c>
      <c r="G11" s="284">
        <v>0</v>
      </c>
      <c r="H11" s="284">
        <v>0</v>
      </c>
      <c r="I11" s="284">
        <v>24356</v>
      </c>
      <c r="J11" s="284">
        <v>0</v>
      </c>
      <c r="K11" s="284">
        <v>0</v>
      </c>
      <c r="L11" s="284">
        <v>0</v>
      </c>
      <c r="M11" s="284">
        <v>0</v>
      </c>
      <c r="N11" s="284">
        <v>0</v>
      </c>
      <c r="O11" s="284">
        <v>0</v>
      </c>
      <c r="P11" s="284">
        <v>0</v>
      </c>
      <c r="Q11" s="284">
        <v>0</v>
      </c>
      <c r="R11" s="284">
        <v>0</v>
      </c>
      <c r="S11" s="284">
        <v>0</v>
      </c>
      <c r="T11" s="284">
        <v>0</v>
      </c>
      <c r="U11" s="284">
        <v>0</v>
      </c>
      <c r="V11" s="284">
        <v>0</v>
      </c>
      <c r="W11" s="284">
        <v>0</v>
      </c>
      <c r="X11" s="284">
        <v>0</v>
      </c>
      <c r="Y11" s="284">
        <v>0</v>
      </c>
      <c r="Z11" s="284">
        <v>0</v>
      </c>
      <c r="AA11" s="284">
        <v>0</v>
      </c>
      <c r="AB11" s="284">
        <v>0</v>
      </c>
      <c r="AC11" s="284">
        <v>0</v>
      </c>
      <c r="AD11" s="285">
        <f t="shared" ref="AD11" si="2">SUM(C11:AC11)</f>
        <v>24356</v>
      </c>
    </row>
    <row r="12" spans="1:47">
      <c r="A12" s="500" t="s">
        <v>296</v>
      </c>
      <c r="B12" s="286" t="s">
        <v>540</v>
      </c>
      <c r="C12" s="284">
        <v>0</v>
      </c>
      <c r="D12" s="284">
        <v>-6420679</v>
      </c>
      <c r="E12" s="284">
        <v>-1268891</v>
      </c>
      <c r="F12" s="284">
        <v>0</v>
      </c>
      <c r="G12" s="284">
        <v>0</v>
      </c>
      <c r="H12" s="284">
        <v>0</v>
      </c>
      <c r="I12" s="284">
        <v>0</v>
      </c>
      <c r="J12" s="284">
        <v>0</v>
      </c>
      <c r="K12" s="284">
        <v>0</v>
      </c>
      <c r="L12" s="284">
        <v>12077270</v>
      </c>
      <c r="M12" s="284">
        <v>0</v>
      </c>
      <c r="N12" s="284">
        <v>0</v>
      </c>
      <c r="O12" s="284">
        <v>0</v>
      </c>
      <c r="P12" s="284">
        <v>0</v>
      </c>
      <c r="Q12" s="284">
        <v>0</v>
      </c>
      <c r="R12" s="284">
        <v>0</v>
      </c>
      <c r="S12" s="284">
        <v>0</v>
      </c>
      <c r="T12" s="284">
        <v>0</v>
      </c>
      <c r="U12" s="284">
        <v>0</v>
      </c>
      <c r="V12" s="284">
        <v>0</v>
      </c>
      <c r="W12" s="284">
        <v>0</v>
      </c>
      <c r="X12" s="284">
        <v>0</v>
      </c>
      <c r="Y12" s="284">
        <v>0</v>
      </c>
      <c r="Z12" s="284">
        <v>0</v>
      </c>
      <c r="AA12" s="284">
        <v>0</v>
      </c>
      <c r="AB12" s="284">
        <v>0</v>
      </c>
      <c r="AC12" s="284">
        <v>7689570</v>
      </c>
      <c r="AD12" s="285">
        <f t="shared" si="1"/>
        <v>12077270</v>
      </c>
    </row>
    <row r="13" spans="1:47" ht="31.2">
      <c r="A13" s="500" t="s">
        <v>197</v>
      </c>
      <c r="B13" s="286" t="s">
        <v>541</v>
      </c>
      <c r="C13" s="284">
        <v>0</v>
      </c>
      <c r="D13" s="284">
        <v>0</v>
      </c>
      <c r="E13" s="284">
        <v>354625</v>
      </c>
      <c r="F13" s="284">
        <v>0</v>
      </c>
      <c r="G13" s="284">
        <v>0</v>
      </c>
      <c r="H13" s="284">
        <v>0</v>
      </c>
      <c r="I13" s="284">
        <v>0</v>
      </c>
      <c r="J13" s="284">
        <v>0</v>
      </c>
      <c r="K13" s="284">
        <v>0</v>
      </c>
      <c r="L13" s="284">
        <v>0</v>
      </c>
      <c r="M13" s="284">
        <v>0</v>
      </c>
      <c r="N13" s="284">
        <v>0</v>
      </c>
      <c r="O13" s="284">
        <v>0</v>
      </c>
      <c r="P13" s="284">
        <v>0</v>
      </c>
      <c r="Q13" s="284">
        <v>0</v>
      </c>
      <c r="R13" s="284">
        <v>0</v>
      </c>
      <c r="S13" s="284">
        <v>0</v>
      </c>
      <c r="T13" s="284">
        <v>0</v>
      </c>
      <c r="U13" s="284">
        <v>0</v>
      </c>
      <c r="V13" s="284">
        <v>0</v>
      </c>
      <c r="W13" s="284">
        <v>0</v>
      </c>
      <c r="X13" s="284">
        <v>0</v>
      </c>
      <c r="Y13" s="284">
        <v>0</v>
      </c>
      <c r="Z13" s="284">
        <v>0</v>
      </c>
      <c r="AA13" s="284">
        <v>0</v>
      </c>
      <c r="AB13" s="284">
        <v>0</v>
      </c>
      <c r="AC13" s="284">
        <v>0</v>
      </c>
      <c r="AD13" s="285">
        <f t="shared" si="1"/>
        <v>354625</v>
      </c>
    </row>
    <row r="14" spans="1:47">
      <c r="A14" s="500" t="s">
        <v>236</v>
      </c>
      <c r="B14" s="286" t="s">
        <v>542</v>
      </c>
      <c r="C14" s="284">
        <v>0</v>
      </c>
      <c r="D14" s="284">
        <v>0</v>
      </c>
      <c r="E14" s="284">
        <v>60000</v>
      </c>
      <c r="F14" s="284">
        <v>0</v>
      </c>
      <c r="G14" s="284">
        <v>0</v>
      </c>
      <c r="H14" s="284">
        <v>0</v>
      </c>
      <c r="I14" s="284">
        <v>0</v>
      </c>
      <c r="J14" s="284">
        <v>0</v>
      </c>
      <c r="K14" s="284">
        <v>0</v>
      </c>
      <c r="L14" s="284">
        <v>0</v>
      </c>
      <c r="M14" s="284">
        <v>0</v>
      </c>
      <c r="N14" s="284">
        <v>0</v>
      </c>
      <c r="O14" s="284">
        <v>0</v>
      </c>
      <c r="P14" s="284">
        <v>0</v>
      </c>
      <c r="Q14" s="284">
        <v>0</v>
      </c>
      <c r="R14" s="284">
        <v>0</v>
      </c>
      <c r="S14" s="284">
        <v>0</v>
      </c>
      <c r="T14" s="284">
        <v>0</v>
      </c>
      <c r="U14" s="284">
        <v>0</v>
      </c>
      <c r="V14" s="284">
        <v>0</v>
      </c>
      <c r="W14" s="284">
        <v>0</v>
      </c>
      <c r="X14" s="284">
        <v>0</v>
      </c>
      <c r="Y14" s="284">
        <v>0</v>
      </c>
      <c r="Z14" s="284">
        <v>0</v>
      </c>
      <c r="AA14" s="284">
        <v>0</v>
      </c>
      <c r="AB14" s="284">
        <v>0</v>
      </c>
      <c r="AC14" s="284">
        <v>0</v>
      </c>
      <c r="AD14" s="285">
        <f t="shared" si="1"/>
        <v>60000</v>
      </c>
    </row>
    <row r="15" spans="1:47" hidden="1">
      <c r="A15" s="500" t="s">
        <v>237</v>
      </c>
      <c r="C15" s="284">
        <v>0</v>
      </c>
      <c r="D15" s="284">
        <v>0</v>
      </c>
      <c r="E15" s="284">
        <v>0</v>
      </c>
      <c r="F15" s="284">
        <v>0</v>
      </c>
      <c r="G15" s="284">
        <v>0</v>
      </c>
      <c r="H15" s="284">
        <v>0</v>
      </c>
      <c r="I15" s="284">
        <v>0</v>
      </c>
      <c r="J15" s="284">
        <v>0</v>
      </c>
      <c r="K15" s="284">
        <v>0</v>
      </c>
      <c r="L15" s="284">
        <v>0</v>
      </c>
      <c r="M15" s="284">
        <v>0</v>
      </c>
      <c r="N15" s="284">
        <v>0</v>
      </c>
      <c r="O15" s="284">
        <v>0</v>
      </c>
      <c r="P15" s="284">
        <v>0</v>
      </c>
      <c r="Q15" s="284">
        <v>0</v>
      </c>
      <c r="R15" s="284">
        <v>0</v>
      </c>
      <c r="S15" s="284">
        <v>0</v>
      </c>
      <c r="T15" s="284">
        <v>0</v>
      </c>
      <c r="U15" s="284">
        <v>0</v>
      </c>
      <c r="V15" s="284">
        <v>0</v>
      </c>
      <c r="W15" s="284">
        <v>0</v>
      </c>
      <c r="X15" s="284">
        <v>0</v>
      </c>
      <c r="Y15" s="284">
        <v>0</v>
      </c>
      <c r="Z15" s="284">
        <v>0</v>
      </c>
      <c r="AA15" s="284">
        <v>0</v>
      </c>
      <c r="AB15" s="284">
        <v>0</v>
      </c>
      <c r="AC15" s="284">
        <v>0</v>
      </c>
      <c r="AD15" s="285">
        <f t="shared" ref="AD15:AD17" si="3">SUM(C15:AC15)</f>
        <v>0</v>
      </c>
    </row>
    <row r="16" spans="1:47">
      <c r="A16" s="500" t="s">
        <v>366</v>
      </c>
      <c r="B16" s="286" t="s">
        <v>618</v>
      </c>
      <c r="C16" s="284">
        <v>0</v>
      </c>
      <c r="D16" s="284">
        <v>900000</v>
      </c>
      <c r="E16" s="284">
        <v>5511818</v>
      </c>
      <c r="F16" s="284">
        <v>190172</v>
      </c>
      <c r="G16" s="284">
        <v>0</v>
      </c>
      <c r="H16" s="284">
        <v>0</v>
      </c>
      <c r="I16" s="284">
        <v>15752699</v>
      </c>
      <c r="J16" s="284">
        <v>0</v>
      </c>
      <c r="K16" s="284">
        <v>7669214</v>
      </c>
      <c r="L16" s="284">
        <v>3406175</v>
      </c>
      <c r="M16" s="284">
        <v>8359641</v>
      </c>
      <c r="N16" s="284">
        <v>0</v>
      </c>
      <c r="O16" s="284">
        <v>4362500</v>
      </c>
      <c r="P16" s="284">
        <v>1000000</v>
      </c>
      <c r="Q16" s="284">
        <v>350000</v>
      </c>
      <c r="R16" s="284">
        <v>3049500</v>
      </c>
      <c r="S16" s="284">
        <v>3919173</v>
      </c>
      <c r="T16" s="284">
        <v>1147261</v>
      </c>
      <c r="U16" s="284">
        <v>4686171</v>
      </c>
      <c r="V16" s="284">
        <v>5179031</v>
      </c>
      <c r="W16" s="284">
        <v>0</v>
      </c>
      <c r="X16" s="284">
        <v>0</v>
      </c>
      <c r="Y16" s="284">
        <v>0</v>
      </c>
      <c r="Z16" s="284">
        <v>0</v>
      </c>
      <c r="AA16" s="284">
        <v>868808</v>
      </c>
      <c r="AB16" s="284">
        <v>0</v>
      </c>
      <c r="AC16" s="284">
        <v>0</v>
      </c>
      <c r="AD16" s="285">
        <f t="shared" si="3"/>
        <v>66352163</v>
      </c>
    </row>
    <row r="17" spans="1:34" ht="31.2">
      <c r="A17" s="509" t="s">
        <v>617</v>
      </c>
      <c r="B17" s="286" t="s">
        <v>619</v>
      </c>
      <c r="C17" s="284">
        <v>0</v>
      </c>
      <c r="D17" s="284">
        <v>0</v>
      </c>
      <c r="E17" s="284">
        <v>0</v>
      </c>
      <c r="F17" s="284">
        <v>0</v>
      </c>
      <c r="G17" s="284">
        <v>0</v>
      </c>
      <c r="H17" s="284">
        <v>0</v>
      </c>
      <c r="I17" s="284">
        <v>0</v>
      </c>
      <c r="J17" s="284">
        <v>0</v>
      </c>
      <c r="K17" s="284">
        <v>0</v>
      </c>
      <c r="L17" s="284">
        <v>0</v>
      </c>
      <c r="M17" s="284">
        <v>0</v>
      </c>
      <c r="N17" s="284">
        <v>0</v>
      </c>
      <c r="O17" s="284">
        <v>0</v>
      </c>
      <c r="P17" s="284">
        <v>0</v>
      </c>
      <c r="Q17" s="284">
        <v>0</v>
      </c>
      <c r="R17" s="284">
        <v>0</v>
      </c>
      <c r="S17" s="284">
        <v>0</v>
      </c>
      <c r="T17" s="284">
        <v>0</v>
      </c>
      <c r="U17" s="284">
        <v>0</v>
      </c>
      <c r="V17" s="284">
        <v>0</v>
      </c>
      <c r="W17" s="284">
        <v>0</v>
      </c>
      <c r="X17" s="284">
        <v>0</v>
      </c>
      <c r="Y17" s="284">
        <v>0</v>
      </c>
      <c r="Z17" s="284">
        <v>0</v>
      </c>
      <c r="AA17" s="284">
        <v>0</v>
      </c>
      <c r="AB17" s="284">
        <v>0</v>
      </c>
      <c r="AC17" s="284">
        <v>0</v>
      </c>
      <c r="AD17" s="285">
        <f t="shared" si="3"/>
        <v>0</v>
      </c>
    </row>
    <row r="18" spans="1:34">
      <c r="A18" s="500" t="s">
        <v>480</v>
      </c>
      <c r="B18" s="286" t="s">
        <v>482</v>
      </c>
      <c r="C18" s="284">
        <v>0</v>
      </c>
      <c r="D18" s="284">
        <v>0</v>
      </c>
      <c r="E18" s="284">
        <v>0</v>
      </c>
      <c r="F18" s="284">
        <v>0</v>
      </c>
      <c r="G18" s="284">
        <v>0</v>
      </c>
      <c r="H18" s="284">
        <v>0</v>
      </c>
      <c r="I18" s="284">
        <v>0</v>
      </c>
      <c r="J18" s="284">
        <v>0</v>
      </c>
      <c r="K18" s="284">
        <v>0</v>
      </c>
      <c r="L18" s="284">
        <v>0</v>
      </c>
      <c r="M18" s="284">
        <v>0</v>
      </c>
      <c r="N18" s="284">
        <v>0</v>
      </c>
      <c r="O18" s="284">
        <v>0</v>
      </c>
      <c r="P18" s="284">
        <v>0</v>
      </c>
      <c r="Q18" s="284">
        <v>0</v>
      </c>
      <c r="R18" s="284">
        <v>0</v>
      </c>
      <c r="S18" s="284">
        <v>0</v>
      </c>
      <c r="T18" s="284">
        <v>0</v>
      </c>
      <c r="U18" s="284">
        <v>0</v>
      </c>
      <c r="V18" s="284">
        <v>0</v>
      </c>
      <c r="W18" s="284">
        <v>0</v>
      </c>
      <c r="X18" s="284">
        <v>0</v>
      </c>
      <c r="Y18" s="284">
        <v>0</v>
      </c>
      <c r="Z18" s="284">
        <v>0</v>
      </c>
      <c r="AA18" s="284">
        <v>0</v>
      </c>
      <c r="AB18" s="284">
        <v>5643960</v>
      </c>
      <c r="AC18" s="284">
        <v>0</v>
      </c>
      <c r="AD18" s="285">
        <f t="shared" si="1"/>
        <v>5643960</v>
      </c>
    </row>
    <row r="19" spans="1:34" ht="15.6" customHeight="1">
      <c r="A19" s="374"/>
      <c r="B19" s="375"/>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447"/>
      <c r="AD19" s="377"/>
    </row>
    <row r="20" spans="1:34" ht="16.2" thickBot="1">
      <c r="A20" s="357"/>
      <c r="B20" s="358" t="s">
        <v>145</v>
      </c>
      <c r="C20" s="359">
        <f>SUM(C7:C19)</f>
        <v>-69990</v>
      </c>
      <c r="D20" s="359">
        <f t="shared" ref="D20:AD20" si="4">SUM(D7:D19)</f>
        <v>-12258937</v>
      </c>
      <c r="E20" s="359">
        <f t="shared" si="4"/>
        <v>11017630</v>
      </c>
      <c r="F20" s="359">
        <f t="shared" si="4"/>
        <v>190172</v>
      </c>
      <c r="G20" s="359">
        <f t="shared" si="4"/>
        <v>0</v>
      </c>
      <c r="H20" s="359">
        <f t="shared" si="4"/>
        <v>0</v>
      </c>
      <c r="I20" s="359">
        <f t="shared" si="4"/>
        <v>14536063</v>
      </c>
      <c r="J20" s="359">
        <f t="shared" si="4"/>
        <v>0</v>
      </c>
      <c r="K20" s="359">
        <f t="shared" si="4"/>
        <v>8134400</v>
      </c>
      <c r="L20" s="359">
        <f t="shared" si="4"/>
        <v>70483445</v>
      </c>
      <c r="M20" s="359">
        <f t="shared" si="4"/>
        <v>8359641</v>
      </c>
      <c r="N20" s="359">
        <f t="shared" si="4"/>
        <v>0</v>
      </c>
      <c r="O20" s="359">
        <f t="shared" si="4"/>
        <v>5768761</v>
      </c>
      <c r="P20" s="359">
        <f t="shared" si="4"/>
        <v>500000</v>
      </c>
      <c r="Q20" s="359">
        <f t="shared" si="4"/>
        <v>2113499</v>
      </c>
      <c r="R20" s="359">
        <f t="shared" si="4"/>
        <v>3149500</v>
      </c>
      <c r="S20" s="359">
        <f t="shared" si="4"/>
        <v>4248611</v>
      </c>
      <c r="T20" s="359">
        <f t="shared" si="4"/>
        <v>1497332</v>
      </c>
      <c r="U20" s="359">
        <f t="shared" si="4"/>
        <v>4967725</v>
      </c>
      <c r="V20" s="359">
        <f t="shared" si="4"/>
        <v>5193012</v>
      </c>
      <c r="W20" s="359">
        <f t="shared" si="4"/>
        <v>0</v>
      </c>
      <c r="X20" s="359">
        <f t="shared" si="4"/>
        <v>-177124</v>
      </c>
      <c r="Y20" s="359">
        <f t="shared" si="4"/>
        <v>-92424</v>
      </c>
      <c r="Z20" s="359">
        <f t="shared" si="4"/>
        <v>-7048</v>
      </c>
      <c r="AA20" s="359">
        <f t="shared" si="4"/>
        <v>1345738</v>
      </c>
      <c r="AB20" s="359">
        <f t="shared" si="4"/>
        <v>5423602</v>
      </c>
      <c r="AC20" s="359">
        <f t="shared" si="4"/>
        <v>7689570</v>
      </c>
      <c r="AD20" s="371">
        <f t="shared" si="4"/>
        <v>142013178</v>
      </c>
      <c r="AG20" s="84"/>
    </row>
    <row r="21" spans="1:34" ht="16.2">
      <c r="A21" s="288"/>
      <c r="B21" s="289" t="s">
        <v>4</v>
      </c>
      <c r="C21" s="284">
        <v>16961639</v>
      </c>
      <c r="D21" s="284">
        <v>543089146</v>
      </c>
      <c r="E21" s="284">
        <v>36561471</v>
      </c>
      <c r="F21" s="284">
        <v>9225061</v>
      </c>
      <c r="G21" s="284">
        <v>7840589</v>
      </c>
      <c r="H21" s="284">
        <v>3987187</v>
      </c>
      <c r="I21" s="284">
        <v>1159636</v>
      </c>
      <c r="J21" s="284">
        <v>13343961</v>
      </c>
      <c r="K21" s="284">
        <v>21886925</v>
      </c>
      <c r="L21" s="284">
        <v>343643396</v>
      </c>
      <c r="M21" s="284">
        <v>143966151</v>
      </c>
      <c r="N21" s="284">
        <v>15952053</v>
      </c>
      <c r="O21" s="284">
        <v>20909790</v>
      </c>
      <c r="P21" s="284">
        <v>6160951</v>
      </c>
      <c r="Q21" s="284">
        <v>23335</v>
      </c>
      <c r="R21" s="284">
        <v>30164830</v>
      </c>
      <c r="S21" s="284">
        <v>4465218</v>
      </c>
      <c r="T21" s="284">
        <v>5693995</v>
      </c>
      <c r="U21" s="284">
        <v>38706935</v>
      </c>
      <c r="V21" s="284">
        <v>2139087</v>
      </c>
      <c r="W21" s="284">
        <v>2474761</v>
      </c>
      <c r="X21" s="284">
        <v>18062278</v>
      </c>
      <c r="Y21" s="284">
        <v>9622892</v>
      </c>
      <c r="Z21" s="284">
        <v>617243</v>
      </c>
      <c r="AA21" s="284">
        <v>27530700</v>
      </c>
      <c r="AB21" s="284">
        <v>22353312</v>
      </c>
      <c r="AC21" s="284">
        <v>6972110</v>
      </c>
      <c r="AD21" s="285">
        <f t="shared" ref="AD21:AD23" si="5">SUM(C21:AC21)</f>
        <v>1353514652</v>
      </c>
      <c r="AF21" s="84"/>
      <c r="AH21" s="84"/>
    </row>
    <row r="22" spans="1:34" ht="16.2">
      <c r="A22" s="288"/>
      <c r="B22" s="290" t="s">
        <v>200</v>
      </c>
      <c r="C22" s="284">
        <v>13009162</v>
      </c>
      <c r="D22" s="284">
        <v>277404628</v>
      </c>
      <c r="E22" s="284">
        <v>48346614</v>
      </c>
      <c r="F22" s="284">
        <v>51421357</v>
      </c>
      <c r="G22" s="284">
        <v>4426970</v>
      </c>
      <c r="H22" s="284">
        <v>2428514</v>
      </c>
      <c r="I22" s="284">
        <v>23050781</v>
      </c>
      <c r="J22" s="284">
        <v>253229</v>
      </c>
      <c r="K22" s="284">
        <v>24149317</v>
      </c>
      <c r="L22" s="284">
        <v>288814698</v>
      </c>
      <c r="M22" s="284">
        <v>179132674</v>
      </c>
      <c r="N22" s="284">
        <v>8718944</v>
      </c>
      <c r="O22" s="284">
        <v>9271331</v>
      </c>
      <c r="P22" s="284">
        <v>3261607</v>
      </c>
      <c r="Q22" s="284">
        <v>6639078</v>
      </c>
      <c r="R22" s="284">
        <v>3049500</v>
      </c>
      <c r="S22" s="284">
        <v>36623296</v>
      </c>
      <c r="T22" s="284">
        <v>3352793</v>
      </c>
      <c r="U22" s="284">
        <v>22304307</v>
      </c>
      <c r="V22" s="284">
        <v>7275200</v>
      </c>
      <c r="W22" s="284">
        <v>6925057</v>
      </c>
      <c r="X22" s="284">
        <v>10942382</v>
      </c>
      <c r="Y22" s="284">
        <v>5332981</v>
      </c>
      <c r="Z22" s="284">
        <v>596621</v>
      </c>
      <c r="AA22" s="284">
        <v>19998112</v>
      </c>
      <c r="AB22" s="284">
        <v>10244441</v>
      </c>
      <c r="AC22" s="284">
        <v>717460</v>
      </c>
      <c r="AD22" s="285">
        <f t="shared" si="5"/>
        <v>1067691054</v>
      </c>
      <c r="AF22" s="84"/>
      <c r="AH22" s="84"/>
    </row>
    <row r="23" spans="1:34" ht="16.8" thickBot="1">
      <c r="A23" s="288"/>
      <c r="B23" s="290" t="s">
        <v>34</v>
      </c>
      <c r="C23" s="284">
        <v>0</v>
      </c>
      <c r="D23" s="284">
        <v>6112915</v>
      </c>
      <c r="E23" s="284">
        <v>2373545</v>
      </c>
      <c r="F23" s="284">
        <v>0</v>
      </c>
      <c r="G23" s="284">
        <v>0</v>
      </c>
      <c r="H23" s="284">
        <v>0</v>
      </c>
      <c r="I23" s="284">
        <v>25356</v>
      </c>
      <c r="J23" s="284">
        <v>0</v>
      </c>
      <c r="K23" s="284">
        <v>0</v>
      </c>
      <c r="L23" s="284">
        <v>772839</v>
      </c>
      <c r="M23" s="284">
        <v>0</v>
      </c>
      <c r="N23" s="284">
        <v>0</v>
      </c>
      <c r="O23" s="284">
        <v>0</v>
      </c>
      <c r="P23" s="284">
        <v>0</v>
      </c>
      <c r="Q23" s="284">
        <v>0</v>
      </c>
      <c r="R23" s="284">
        <v>100000</v>
      </c>
      <c r="S23" s="284">
        <v>0</v>
      </c>
      <c r="T23" s="284">
        <v>0</v>
      </c>
      <c r="U23" s="284">
        <v>83083</v>
      </c>
      <c r="V23" s="284">
        <v>0</v>
      </c>
      <c r="W23" s="284">
        <v>0</v>
      </c>
      <c r="X23" s="284">
        <v>0</v>
      </c>
      <c r="Y23" s="284">
        <v>0</v>
      </c>
      <c r="Z23" s="284">
        <v>0</v>
      </c>
      <c r="AA23" s="284">
        <v>0</v>
      </c>
      <c r="AB23" s="284">
        <v>0</v>
      </c>
      <c r="AC23" s="446"/>
      <c r="AD23" s="285">
        <f t="shared" si="5"/>
        <v>9467738</v>
      </c>
      <c r="AF23" s="84"/>
      <c r="AH23" s="84"/>
    </row>
    <row r="24" spans="1:34" ht="16.2" thickBot="1">
      <c r="A24" s="291"/>
      <c r="B24" s="287" t="s">
        <v>220</v>
      </c>
      <c r="C24" s="311">
        <f t="shared" ref="C24:AD24" si="6">C20+C6</f>
        <v>29970801</v>
      </c>
      <c r="D24" s="311">
        <f t="shared" si="6"/>
        <v>826606689</v>
      </c>
      <c r="E24" s="311">
        <f t="shared" si="6"/>
        <v>87281630</v>
      </c>
      <c r="F24" s="311">
        <f t="shared" si="6"/>
        <v>60646418</v>
      </c>
      <c r="G24" s="311">
        <f t="shared" si="6"/>
        <v>12267559</v>
      </c>
      <c r="H24" s="311">
        <f t="shared" si="6"/>
        <v>6415701</v>
      </c>
      <c r="I24" s="311">
        <f t="shared" si="6"/>
        <v>24235773</v>
      </c>
      <c r="J24" s="311">
        <f t="shared" si="6"/>
        <v>13597190</v>
      </c>
      <c r="K24" s="311">
        <f t="shared" si="6"/>
        <v>46036242</v>
      </c>
      <c r="L24" s="311">
        <f t="shared" si="6"/>
        <v>633230933</v>
      </c>
      <c r="M24" s="311">
        <f t="shared" si="6"/>
        <v>323098825</v>
      </c>
      <c r="N24" s="311">
        <f t="shared" si="6"/>
        <v>24670997</v>
      </c>
      <c r="O24" s="311">
        <f t="shared" si="6"/>
        <v>30181121</v>
      </c>
      <c r="P24" s="311">
        <f t="shared" si="6"/>
        <v>9422558</v>
      </c>
      <c r="Q24" s="311">
        <f t="shared" si="6"/>
        <v>6662413</v>
      </c>
      <c r="R24" s="311">
        <f t="shared" si="6"/>
        <v>33314330</v>
      </c>
      <c r="S24" s="311">
        <f t="shared" si="6"/>
        <v>41088514</v>
      </c>
      <c r="T24" s="311">
        <f t="shared" si="6"/>
        <v>9046788</v>
      </c>
      <c r="U24" s="311">
        <f t="shared" si="6"/>
        <v>61094325</v>
      </c>
      <c r="V24" s="311">
        <f t="shared" si="6"/>
        <v>9414287</v>
      </c>
      <c r="W24" s="311">
        <f t="shared" si="6"/>
        <v>9399818</v>
      </c>
      <c r="X24" s="311">
        <f t="shared" si="6"/>
        <v>29004660</v>
      </c>
      <c r="Y24" s="311">
        <f t="shared" si="6"/>
        <v>14955873</v>
      </c>
      <c r="Z24" s="311">
        <f t="shared" si="6"/>
        <v>1213864</v>
      </c>
      <c r="AA24" s="311">
        <f t="shared" si="6"/>
        <v>47528812</v>
      </c>
      <c r="AB24" s="311">
        <f t="shared" si="6"/>
        <v>32597753</v>
      </c>
      <c r="AC24" s="311">
        <f t="shared" si="6"/>
        <v>7689570</v>
      </c>
      <c r="AD24" s="345">
        <f t="shared" si="6"/>
        <v>2430673444</v>
      </c>
      <c r="AG24" s="84"/>
    </row>
    <row r="25" spans="1:34" s="342" customFormat="1" hidden="1">
      <c r="A25" s="17"/>
      <c r="B25" s="17"/>
      <c r="C25" s="114"/>
      <c r="D25" s="369"/>
      <c r="E25" s="370"/>
      <c r="F25" s="369"/>
      <c r="G25" s="369"/>
      <c r="H25" s="369"/>
      <c r="I25" s="369"/>
      <c r="J25" s="369"/>
      <c r="K25" s="369"/>
      <c r="L25" s="369"/>
      <c r="M25" s="369"/>
      <c r="N25" s="369"/>
      <c r="O25" s="369"/>
      <c r="P25" s="370"/>
      <c r="Q25" s="369"/>
      <c r="R25" s="369"/>
      <c r="S25" s="369"/>
      <c r="T25" s="369"/>
      <c r="U25" s="84"/>
      <c r="V25" s="84"/>
      <c r="W25" s="84"/>
      <c r="X25" s="84"/>
      <c r="Y25" s="84"/>
      <c r="Z25" s="84"/>
      <c r="AA25" s="84"/>
      <c r="AB25" s="114"/>
      <c r="AC25" s="114"/>
      <c r="AD25" s="114">
        <f>'Schedule 1'!I57</f>
        <v>2430673444</v>
      </c>
      <c r="AE25" s="100"/>
      <c r="AF25" s="100"/>
      <c r="AG25" s="341"/>
      <c r="AH25" s="341"/>
    </row>
    <row r="26" spans="1:34" hidden="1">
      <c r="A26" s="10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f>AD25-AD24</f>
        <v>0</v>
      </c>
    </row>
    <row r="27" spans="1:34">
      <c r="A27" s="100"/>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row>
    <row r="28" spans="1:34">
      <c r="A28" s="100"/>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E28" s="84"/>
    </row>
    <row r="29" spans="1:34">
      <c r="A29" s="100"/>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row>
    <row r="30" spans="1:34">
      <c r="A30" s="10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row>
    <row r="31" spans="1:34">
      <c r="A31" s="10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row r="32" spans="1:34" s="97" customFormat="1">
      <c r="A32" s="29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0" s="97" customFormat="1">
      <c r="A33" s="292"/>
      <c r="B33" s="10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100"/>
    </row>
    <row r="34" spans="1:30" s="293" customFormat="1">
      <c r="A34" s="292"/>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s="293" customFormat="1">
      <c r="A35" s="292"/>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0" s="293" customFormat="1">
      <c r="A36" s="292"/>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0" s="269" customFormat="1">
      <c r="A37" s="292"/>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row>
    <row r="59" spans="31:31">
      <c r="AE59" s="294"/>
    </row>
    <row r="60" spans="31:31">
      <c r="AE60" s="294"/>
    </row>
    <row r="61" spans="31:31">
      <c r="AE61" s="294"/>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21.5546875" style="79" bestFit="1" customWidth="1"/>
    <col min="7" max="7" width="16.77734375" style="79" customWidth="1"/>
    <col min="8" max="8" width="16.109375" style="79" customWidth="1"/>
    <col min="9" max="9" width="18.109375" style="78" customWidth="1"/>
    <col min="10" max="10" width="18.6640625" style="78" customWidth="1"/>
    <col min="11" max="11" width="18.109375" style="78" customWidth="1"/>
    <col min="12" max="12" width="13.88671875" style="78" bestFit="1" customWidth="1"/>
    <col min="13" max="13" width="16.6640625" style="66" customWidth="1"/>
    <col min="14" max="14" width="13.44140625" style="67" customWidth="1"/>
    <col min="15" max="16384" width="9.109375" style="67"/>
  </cols>
  <sheetData>
    <row r="1" spans="1:14" s="63" customFormat="1" ht="18" customHeight="1">
      <c r="A1" s="622" t="s">
        <v>3</v>
      </c>
      <c r="B1" s="622"/>
      <c r="C1" s="622"/>
      <c r="D1" s="622"/>
      <c r="E1" s="622"/>
      <c r="F1" s="622"/>
      <c r="G1" s="622"/>
      <c r="H1" s="622"/>
      <c r="I1" s="622"/>
      <c r="J1" s="622"/>
      <c r="K1" s="622"/>
      <c r="L1" s="622"/>
      <c r="M1" s="106"/>
    </row>
    <row r="2" spans="1:14" s="65" customFormat="1" ht="18" customHeight="1">
      <c r="A2" s="623" t="s">
        <v>465</v>
      </c>
      <c r="B2" s="623"/>
      <c r="C2" s="623"/>
      <c r="D2" s="623"/>
      <c r="E2" s="623"/>
      <c r="F2" s="623"/>
      <c r="G2" s="623"/>
      <c r="H2" s="623"/>
      <c r="I2" s="623"/>
      <c r="J2" s="623"/>
      <c r="K2" s="623"/>
      <c r="L2" s="623"/>
      <c r="M2" s="107"/>
    </row>
    <row r="3" spans="1:14" s="65" customFormat="1" ht="18" customHeight="1">
      <c r="A3" s="624" t="str">
        <f>'Schedule 1'!A3:L3</f>
        <v>Data Through February 28, 2022</v>
      </c>
      <c r="B3" s="624"/>
      <c r="C3" s="624"/>
      <c r="D3" s="624"/>
      <c r="E3" s="624"/>
      <c r="F3" s="624"/>
      <c r="G3" s="624"/>
      <c r="H3" s="624"/>
      <c r="I3" s="624"/>
      <c r="J3" s="624"/>
      <c r="K3" s="624"/>
      <c r="L3" s="624"/>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-704413</v>
      </c>
      <c r="E5" s="114">
        <v>-704413</v>
      </c>
      <c r="F5" s="514" t="s">
        <v>582</v>
      </c>
      <c r="G5" s="114">
        <v>0</v>
      </c>
      <c r="H5" s="515"/>
      <c r="I5" s="114">
        <v>24412215</v>
      </c>
      <c r="J5" s="114">
        <v>24691188.11999996</v>
      </c>
      <c r="K5" s="114">
        <v>24412215</v>
      </c>
      <c r="L5" s="114">
        <f>I5-K5</f>
        <v>0</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v>25116628</v>
      </c>
      <c r="D7" s="120">
        <f>D5</f>
        <v>-704413</v>
      </c>
      <c r="E7" s="120">
        <f>E5</f>
        <v>-704413</v>
      </c>
      <c r="F7" s="120"/>
      <c r="G7" s="120">
        <f t="shared" ref="G7:L7" si="1">G5</f>
        <v>0</v>
      </c>
      <c r="H7" s="121"/>
      <c r="I7" s="120">
        <f>I5</f>
        <v>24412215</v>
      </c>
      <c r="J7" s="120">
        <f>J5</f>
        <v>24691188.11999996</v>
      </c>
      <c r="K7" s="120">
        <f t="shared" si="1"/>
        <v>24412215</v>
      </c>
      <c r="L7" s="120">
        <f t="shared" si="1"/>
        <v>0</v>
      </c>
      <c r="M7" s="117">
        <f t="shared" si="0"/>
        <v>0</v>
      </c>
      <c r="N7" s="62"/>
    </row>
    <row r="8" spans="1:14" s="62" customFormat="1" ht="18" customHeight="1">
      <c r="A8" s="122" t="s">
        <v>23</v>
      </c>
      <c r="B8" s="113" t="s">
        <v>8</v>
      </c>
      <c r="C8" s="114">
        <v>822100036</v>
      </c>
      <c r="D8" s="114">
        <f>E8+G8</f>
        <v>7639116</v>
      </c>
      <c r="E8" s="114">
        <v>7639116</v>
      </c>
      <c r="F8" s="116" t="s">
        <v>634</v>
      </c>
      <c r="G8" s="114">
        <v>0</v>
      </c>
      <c r="H8" s="465" t="s">
        <v>635</v>
      </c>
      <c r="I8" s="114">
        <v>829739152</v>
      </c>
      <c r="J8" s="379">
        <v>813995658.57999599</v>
      </c>
      <c r="K8" s="114">
        <v>807554168</v>
      </c>
      <c r="L8" s="114">
        <f>I8-K8</f>
        <v>22184984</v>
      </c>
      <c r="M8" s="117">
        <f>I8-C8-D8</f>
        <v>0</v>
      </c>
    </row>
    <row r="9" spans="1:14" s="62" customFormat="1" ht="18" customHeight="1">
      <c r="A9" s="122" t="s">
        <v>24</v>
      </c>
      <c r="B9" s="113" t="s">
        <v>9</v>
      </c>
      <c r="C9" s="114">
        <v>47105630</v>
      </c>
      <c r="D9" s="114">
        <f>E9+G9</f>
        <v>37612620</v>
      </c>
      <c r="E9" s="114">
        <v>37607580</v>
      </c>
      <c r="F9" s="116" t="s">
        <v>636</v>
      </c>
      <c r="G9" s="114">
        <v>5040</v>
      </c>
      <c r="H9" s="116" t="s">
        <v>635</v>
      </c>
      <c r="I9" s="114">
        <v>84718250</v>
      </c>
      <c r="J9" s="114">
        <v>72565983.149999827</v>
      </c>
      <c r="K9" s="114">
        <v>84718250</v>
      </c>
      <c r="L9" s="114">
        <f>I9-K9</f>
        <v>0</v>
      </c>
      <c r="M9" s="117">
        <f>I9-C9-D9</f>
        <v>0</v>
      </c>
    </row>
    <row r="10" spans="1:14" s="62" customFormat="1" ht="18" customHeight="1">
      <c r="A10" s="122" t="s">
        <v>25</v>
      </c>
      <c r="B10" s="113" t="s">
        <v>159</v>
      </c>
      <c r="C10" s="114">
        <v>77471886</v>
      </c>
      <c r="D10" s="114">
        <f t="shared" ref="D10:D18" si="2">E10+G10</f>
        <v>-28123526</v>
      </c>
      <c r="E10" s="114">
        <v>-21364906</v>
      </c>
      <c r="F10" s="115" t="s">
        <v>544</v>
      </c>
      <c r="G10" s="114">
        <v>-6758620</v>
      </c>
      <c r="H10" s="115" t="s">
        <v>637</v>
      </c>
      <c r="I10" s="114">
        <v>49348360</v>
      </c>
      <c r="J10" s="114">
        <v>45603151.669999994</v>
      </c>
      <c r="K10" s="114">
        <v>46131039</v>
      </c>
      <c r="L10" s="114">
        <f t="shared" ref="L10:L18" si="3">I10-K10</f>
        <v>3217321</v>
      </c>
      <c r="M10" s="117">
        <f>I10-C10-D10</f>
        <v>0</v>
      </c>
    </row>
    <row r="11" spans="1:14" s="62" customFormat="1" ht="18" customHeight="1">
      <c r="A11" s="122" t="s">
        <v>26</v>
      </c>
      <c r="B11" s="113" t="s">
        <v>160</v>
      </c>
      <c r="C11" s="114">
        <v>12781921</v>
      </c>
      <c r="D11" s="114">
        <f t="shared" si="2"/>
        <v>2430691</v>
      </c>
      <c r="E11" s="114">
        <v>2430691</v>
      </c>
      <c r="F11" s="115" t="s">
        <v>480</v>
      </c>
      <c r="G11" s="114">
        <v>0</v>
      </c>
      <c r="H11" s="115"/>
      <c r="I11" s="114">
        <v>15212612</v>
      </c>
      <c r="J11" s="114">
        <v>12278097.969999999</v>
      </c>
      <c r="K11" s="114">
        <v>15212612</v>
      </c>
      <c r="L11" s="114">
        <f t="shared" si="3"/>
        <v>0</v>
      </c>
      <c r="M11" s="117">
        <f t="shared" si="0"/>
        <v>0</v>
      </c>
    </row>
    <row r="12" spans="1:14" s="62" customFormat="1" ht="18" customHeight="1">
      <c r="A12" s="122" t="s">
        <v>27</v>
      </c>
      <c r="B12" s="113" t="s">
        <v>161</v>
      </c>
      <c r="C12" s="114">
        <v>6483947</v>
      </c>
      <c r="D12" s="114">
        <f t="shared" si="2"/>
        <v>0</v>
      </c>
      <c r="E12" s="114">
        <v>0</v>
      </c>
      <c r="F12" s="115"/>
      <c r="G12" s="114">
        <v>0</v>
      </c>
      <c r="H12" s="115"/>
      <c r="I12" s="114">
        <v>6483947</v>
      </c>
      <c r="J12" s="114">
        <v>5794151.0900000017</v>
      </c>
      <c r="K12" s="114">
        <v>6483947</v>
      </c>
      <c r="L12" s="114">
        <f t="shared" si="3"/>
        <v>0</v>
      </c>
      <c r="M12" s="117">
        <f t="shared" si="0"/>
        <v>0</v>
      </c>
    </row>
    <row r="13" spans="1:14" s="62" customFormat="1" ht="18" customHeight="1">
      <c r="A13" s="122" t="s">
        <v>100</v>
      </c>
      <c r="B13" s="113" t="s">
        <v>11</v>
      </c>
      <c r="C13" s="114">
        <v>9243710</v>
      </c>
      <c r="D13" s="114">
        <f t="shared" si="2"/>
        <v>13712746</v>
      </c>
      <c r="E13" s="114">
        <v>13712746</v>
      </c>
      <c r="F13" s="115" t="s">
        <v>641</v>
      </c>
      <c r="G13" s="114">
        <v>0</v>
      </c>
      <c r="H13" s="115" t="s">
        <v>635</v>
      </c>
      <c r="I13" s="114">
        <v>22956456</v>
      </c>
      <c r="J13" s="114">
        <v>20726385.590000004</v>
      </c>
      <c r="K13" s="114">
        <v>22956456</v>
      </c>
      <c r="L13" s="114">
        <f t="shared" si="3"/>
        <v>0</v>
      </c>
      <c r="M13" s="117">
        <f t="shared" si="0"/>
        <v>0</v>
      </c>
    </row>
    <row r="14" spans="1:14" s="62" customFormat="1" ht="18" customHeight="1">
      <c r="A14" s="122" t="s">
        <v>101</v>
      </c>
      <c r="B14" s="113" t="s">
        <v>162</v>
      </c>
      <c r="C14" s="114">
        <v>13597190</v>
      </c>
      <c r="D14" s="114">
        <f t="shared" si="2"/>
        <v>6100924</v>
      </c>
      <c r="E14" s="114">
        <v>6100924</v>
      </c>
      <c r="F14" s="115" t="s">
        <v>490</v>
      </c>
      <c r="G14" s="114">
        <v>0</v>
      </c>
      <c r="H14" s="115"/>
      <c r="I14" s="114">
        <v>19698114</v>
      </c>
      <c r="J14" s="114">
        <v>17825785.57</v>
      </c>
      <c r="K14" s="114">
        <v>19698114</v>
      </c>
      <c r="L14" s="114">
        <f t="shared" si="3"/>
        <v>0</v>
      </c>
      <c r="M14" s="117">
        <f t="shared" si="0"/>
        <v>0</v>
      </c>
    </row>
    <row r="15" spans="1:14" s="62" customFormat="1" ht="18" customHeight="1">
      <c r="A15" s="122" t="s">
        <v>102</v>
      </c>
      <c r="B15" s="113" t="s">
        <v>163</v>
      </c>
      <c r="C15" s="114">
        <v>40458689</v>
      </c>
      <c r="D15" s="114">
        <f t="shared" si="2"/>
        <v>6269776</v>
      </c>
      <c r="E15" s="114">
        <v>6269684</v>
      </c>
      <c r="F15" s="115" t="s">
        <v>642</v>
      </c>
      <c r="G15" s="114">
        <v>92</v>
      </c>
      <c r="H15" s="115" t="s">
        <v>638</v>
      </c>
      <c r="I15" s="114">
        <v>46728465</v>
      </c>
      <c r="J15" s="114">
        <v>36341408.459999979</v>
      </c>
      <c r="K15" s="114">
        <v>46728465</v>
      </c>
      <c r="L15" s="114">
        <f t="shared" si="3"/>
        <v>0</v>
      </c>
      <c r="M15" s="117">
        <f t="shared" si="0"/>
        <v>0</v>
      </c>
    </row>
    <row r="16" spans="1:14" s="62" customFormat="1" ht="18" customHeight="1">
      <c r="A16" s="122" t="s">
        <v>103</v>
      </c>
      <c r="B16" s="113" t="s">
        <v>164</v>
      </c>
      <c r="C16" s="114">
        <v>525506742</v>
      </c>
      <c r="D16" s="114">
        <f t="shared" si="2"/>
        <v>44842360</v>
      </c>
      <c r="E16" s="114">
        <v>29608777</v>
      </c>
      <c r="F16" s="312" t="s">
        <v>643</v>
      </c>
      <c r="G16" s="114">
        <v>15233583</v>
      </c>
      <c r="H16" s="115" t="s">
        <v>639</v>
      </c>
      <c r="I16" s="114">
        <v>570349102</v>
      </c>
      <c r="J16" s="114">
        <v>537282900.88999915</v>
      </c>
      <c r="K16" s="114">
        <v>553129488</v>
      </c>
      <c r="L16" s="114">
        <f t="shared" si="3"/>
        <v>17219614</v>
      </c>
      <c r="M16" s="117">
        <f>I16-C16-D16</f>
        <v>0</v>
      </c>
    </row>
    <row r="17" spans="1:14" s="62" customFormat="1" ht="18" customHeight="1">
      <c r="A17" s="122" t="s">
        <v>104</v>
      </c>
      <c r="B17" s="113" t="s">
        <v>165</v>
      </c>
      <c r="C17" s="114">
        <v>315461814</v>
      </c>
      <c r="D17" s="114">
        <f t="shared" si="2"/>
        <v>4760001</v>
      </c>
      <c r="E17" s="114">
        <v>901586</v>
      </c>
      <c r="F17" s="115" t="s">
        <v>644</v>
      </c>
      <c r="G17" s="114">
        <v>3858415</v>
      </c>
      <c r="H17" s="115" t="s">
        <v>640</v>
      </c>
      <c r="I17" s="114">
        <v>320221815</v>
      </c>
      <c r="J17" s="114">
        <v>306446631.54999995</v>
      </c>
      <c r="K17" s="114">
        <v>306256241</v>
      </c>
      <c r="L17" s="114">
        <f t="shared" si="3"/>
        <v>13965574</v>
      </c>
      <c r="M17" s="117">
        <f t="shared" si="0"/>
        <v>0</v>
      </c>
    </row>
    <row r="18" spans="1:14" s="62" customFormat="1" ht="18" customHeight="1">
      <c r="A18" s="122" t="s">
        <v>105</v>
      </c>
      <c r="B18" s="113" t="s">
        <v>166</v>
      </c>
      <c r="C18" s="114">
        <v>40722576</v>
      </c>
      <c r="D18" s="114">
        <f t="shared" si="2"/>
        <v>-12800000</v>
      </c>
      <c r="E18" s="114">
        <v>-9800000</v>
      </c>
      <c r="F18" s="115" t="s">
        <v>645</v>
      </c>
      <c r="G18" s="114">
        <v>-3000000</v>
      </c>
      <c r="H18" s="115" t="s">
        <v>363</v>
      </c>
      <c r="I18" s="114">
        <v>27922576</v>
      </c>
      <c r="J18" s="114">
        <v>25109941.480000004</v>
      </c>
      <c r="K18" s="114">
        <v>22036868</v>
      </c>
      <c r="L18" s="114">
        <f t="shared" si="3"/>
        <v>5885708</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1910934141</v>
      </c>
      <c r="D20" s="120">
        <f>SUM(D8:D18)</f>
        <v>82444708</v>
      </c>
      <c r="E20" s="120">
        <f>SUM(E8:E18)</f>
        <v>73106198</v>
      </c>
      <c r="F20" s="120"/>
      <c r="G20" s="120">
        <f>SUM(G8:G18)</f>
        <v>9338510</v>
      </c>
      <c r="H20" s="121"/>
      <c r="I20" s="120">
        <f>SUM(I8:I18)</f>
        <v>1993378849</v>
      </c>
      <c r="J20" s="120">
        <f>SUM(J8:J18)</f>
        <v>1893970095.999995</v>
      </c>
      <c r="K20" s="120">
        <f>SUM(K8:K18)</f>
        <v>1930905648</v>
      </c>
      <c r="L20" s="120">
        <f>SUM(L8:L18)</f>
        <v>62473201</v>
      </c>
      <c r="M20" s="117">
        <f t="shared" si="0"/>
        <v>0</v>
      </c>
      <c r="N20" s="62"/>
    </row>
    <row r="21" spans="1:14" s="62" customFormat="1" ht="18" customHeight="1">
      <c r="A21" s="122" t="s">
        <v>28</v>
      </c>
      <c r="B21" s="113" t="s">
        <v>14</v>
      </c>
      <c r="C21" s="114">
        <v>24312360</v>
      </c>
      <c r="D21" s="114">
        <f t="shared" ref="D21:D26" si="4">E21+G21</f>
        <v>850578</v>
      </c>
      <c r="E21" s="114">
        <v>850578</v>
      </c>
      <c r="F21" s="115" t="s">
        <v>545</v>
      </c>
      <c r="G21" s="114">
        <v>0</v>
      </c>
      <c r="H21" s="115"/>
      <c r="I21" s="114">
        <v>25162938</v>
      </c>
      <c r="J21" s="114">
        <v>25161456.77</v>
      </c>
      <c r="K21" s="114">
        <v>25162938</v>
      </c>
      <c r="L21" s="114">
        <f t="shared" ref="L21:L26" si="5">I21-K21</f>
        <v>0</v>
      </c>
      <c r="M21" s="117">
        <f>I21-C21-D21</f>
        <v>0</v>
      </c>
    </row>
    <row r="22" spans="1:14" s="62" customFormat="1" ht="18" customHeight="1">
      <c r="A22" s="122" t="s">
        <v>106</v>
      </c>
      <c r="B22" s="113" t="s">
        <v>15</v>
      </c>
      <c r="C22" s="114">
        <v>8422558</v>
      </c>
      <c r="D22" s="114">
        <f t="shared" si="4"/>
        <v>-300000</v>
      </c>
      <c r="E22" s="114">
        <v>-300000</v>
      </c>
      <c r="F22" s="115" t="s">
        <v>297</v>
      </c>
      <c r="G22" s="114">
        <v>0</v>
      </c>
      <c r="H22" s="115"/>
      <c r="I22" s="114">
        <v>8122558</v>
      </c>
      <c r="J22" s="114">
        <v>8099599.2399999993</v>
      </c>
      <c r="K22" s="114">
        <v>8122558</v>
      </c>
      <c r="L22" s="114">
        <f t="shared" si="5"/>
        <v>0</v>
      </c>
      <c r="M22" s="117">
        <f t="shared" si="0"/>
        <v>0</v>
      </c>
    </row>
    <row r="23" spans="1:14" s="62" customFormat="1" ht="18" customHeight="1">
      <c r="A23" s="122" t="s">
        <v>107</v>
      </c>
      <c r="B23" s="113" t="s">
        <v>16</v>
      </c>
      <c r="C23" s="114">
        <v>3287393</v>
      </c>
      <c r="D23" s="114">
        <f t="shared" si="4"/>
        <v>354400</v>
      </c>
      <c r="E23" s="114">
        <v>354400</v>
      </c>
      <c r="F23" s="115" t="s">
        <v>574</v>
      </c>
      <c r="G23" s="114">
        <v>0</v>
      </c>
      <c r="H23" s="116"/>
      <c r="I23" s="114">
        <v>3641793</v>
      </c>
      <c r="J23" s="114">
        <v>3598699.2500000005</v>
      </c>
      <c r="K23" s="114">
        <v>3641793</v>
      </c>
      <c r="L23" s="114">
        <f t="shared" si="5"/>
        <v>0</v>
      </c>
      <c r="M23" s="117">
        <f t="shared" si="0"/>
        <v>0</v>
      </c>
    </row>
    <row r="24" spans="1:14" s="62" customFormat="1" ht="18" customHeight="1">
      <c r="A24" s="122" t="s">
        <v>93</v>
      </c>
      <c r="B24" s="113" t="s">
        <v>135</v>
      </c>
      <c r="C24" s="114">
        <v>30297011</v>
      </c>
      <c r="D24" s="114">
        <f t="shared" si="4"/>
        <v>-262</v>
      </c>
      <c r="E24" s="114">
        <v>-262</v>
      </c>
      <c r="F24" s="115" t="s">
        <v>575</v>
      </c>
      <c r="G24" s="114">
        <v>0</v>
      </c>
      <c r="H24" s="465"/>
      <c r="I24" s="114">
        <v>30296749</v>
      </c>
      <c r="J24" s="114">
        <v>30180413.830000006</v>
      </c>
      <c r="K24" s="114">
        <v>30296749</v>
      </c>
      <c r="L24" s="114">
        <f t="shared" si="5"/>
        <v>0</v>
      </c>
      <c r="M24" s="117">
        <f t="shared" si="0"/>
        <v>0</v>
      </c>
    </row>
    <row r="25" spans="1:14" s="62" customFormat="1" ht="18" customHeight="1">
      <c r="A25" s="122" t="s">
        <v>94</v>
      </c>
      <c r="B25" s="113" t="s">
        <v>290</v>
      </c>
      <c r="C25" s="114">
        <v>33009782</v>
      </c>
      <c r="D25" s="114">
        <f t="shared" si="4"/>
        <v>1116613</v>
      </c>
      <c r="E25" s="114">
        <v>1116613</v>
      </c>
      <c r="F25" s="115" t="s">
        <v>196</v>
      </c>
      <c r="G25" s="114">
        <v>0</v>
      </c>
      <c r="H25" s="115"/>
      <c r="I25" s="114">
        <v>34126395</v>
      </c>
      <c r="J25" s="114">
        <v>34117673.440000013</v>
      </c>
      <c r="K25" s="114">
        <v>34126395</v>
      </c>
      <c r="L25" s="114">
        <f t="shared" si="5"/>
        <v>0</v>
      </c>
      <c r="M25" s="117">
        <f>I25-C25-D25</f>
        <v>0</v>
      </c>
    </row>
    <row r="26" spans="1:14" s="62" customFormat="1" ht="18" customHeight="1">
      <c r="A26" s="122" t="s">
        <v>108</v>
      </c>
      <c r="B26" s="113" t="s">
        <v>136</v>
      </c>
      <c r="C26" s="114">
        <v>7758251</v>
      </c>
      <c r="D26" s="114">
        <f t="shared" si="4"/>
        <v>-267582</v>
      </c>
      <c r="E26" s="114">
        <v>-267582</v>
      </c>
      <c r="F26" s="312" t="s">
        <v>576</v>
      </c>
      <c r="G26" s="114">
        <v>0</v>
      </c>
      <c r="H26" s="465"/>
      <c r="I26" s="114">
        <v>7490669</v>
      </c>
      <c r="J26" s="114">
        <v>7430618.0400000038</v>
      </c>
      <c r="K26" s="114">
        <v>7490669</v>
      </c>
      <c r="L26" s="114">
        <f t="shared" si="5"/>
        <v>0</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v>107087355</v>
      </c>
      <c r="D28" s="120">
        <f>SUM(D21:D26)</f>
        <v>1753747</v>
      </c>
      <c r="E28" s="120">
        <f>SUM(E21:E26)</f>
        <v>1753747</v>
      </c>
      <c r="F28" s="121"/>
      <c r="G28" s="120">
        <f>SUM(G21:G26)</f>
        <v>0</v>
      </c>
      <c r="H28" s="121"/>
      <c r="I28" s="120">
        <f>SUM(I21:I26)</f>
        <v>108841102</v>
      </c>
      <c r="J28" s="120">
        <f>SUM(J21:J26)</f>
        <v>108588460.57000002</v>
      </c>
      <c r="K28" s="120">
        <f>SUM(K21:K26)</f>
        <v>108841102</v>
      </c>
      <c r="L28" s="120">
        <f>SUM(L21:L26)</f>
        <v>0</v>
      </c>
      <c r="M28" s="117">
        <f t="shared" si="0"/>
        <v>0</v>
      </c>
      <c r="N28" s="62"/>
    </row>
    <row r="29" spans="1:14" s="62" customFormat="1" ht="18" customHeight="1">
      <c r="A29" s="122" t="s">
        <v>95</v>
      </c>
      <c r="B29" s="113" t="s">
        <v>167</v>
      </c>
      <c r="C29" s="114">
        <v>56610884</v>
      </c>
      <c r="D29" s="114">
        <f>E29+G29</f>
        <v>438925</v>
      </c>
      <c r="E29" s="114">
        <v>438925</v>
      </c>
      <c r="F29" s="115" t="s">
        <v>646</v>
      </c>
      <c r="G29" s="114">
        <v>0</v>
      </c>
      <c r="H29" s="116" t="s">
        <v>635</v>
      </c>
      <c r="I29" s="114">
        <v>57049809</v>
      </c>
      <c r="J29" s="114">
        <v>54728675.629999839</v>
      </c>
      <c r="K29" s="114">
        <v>57049809</v>
      </c>
      <c r="L29" s="114">
        <f>I29-K29</f>
        <v>0</v>
      </c>
      <c r="M29" s="117">
        <f t="shared" si="0"/>
        <v>0</v>
      </c>
    </row>
    <row r="30" spans="1:14" s="62" customFormat="1" ht="18" customHeight="1">
      <c r="A30" s="122" t="s">
        <v>96</v>
      </c>
      <c r="B30" s="113" t="s">
        <v>109</v>
      </c>
      <c r="C30" s="114">
        <v>4587894</v>
      </c>
      <c r="D30" s="114">
        <f>E30+G30</f>
        <v>-147009</v>
      </c>
      <c r="E30" s="114">
        <v>-147009</v>
      </c>
      <c r="F30" s="115" t="s">
        <v>647</v>
      </c>
      <c r="G30" s="114">
        <v>0</v>
      </c>
      <c r="H30" s="116" t="s">
        <v>635</v>
      </c>
      <c r="I30" s="114">
        <v>4440885</v>
      </c>
      <c r="J30" s="114">
        <v>4149598.4800000014</v>
      </c>
      <c r="K30" s="114">
        <v>4440885</v>
      </c>
      <c r="L30" s="114">
        <f>I30-K30</f>
        <v>0</v>
      </c>
      <c r="M30" s="117">
        <f t="shared" si="0"/>
        <v>0</v>
      </c>
    </row>
    <row r="31" spans="1:14" s="62" customFormat="1" ht="18" customHeight="1">
      <c r="A31" s="122" t="s">
        <v>97</v>
      </c>
      <c r="B31" s="113" t="s">
        <v>168</v>
      </c>
      <c r="C31" s="114">
        <v>9399818</v>
      </c>
      <c r="D31" s="114">
        <f>E31+G31</f>
        <v>918336</v>
      </c>
      <c r="E31" s="114">
        <v>918336</v>
      </c>
      <c r="F31" s="115" t="s">
        <v>432</v>
      </c>
      <c r="G31" s="114">
        <v>0</v>
      </c>
      <c r="H31" s="115"/>
      <c r="I31" s="114">
        <v>10318154</v>
      </c>
      <c r="J31" s="114">
        <v>9953629.120000001</v>
      </c>
      <c r="K31" s="114">
        <v>10318154</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v>70598596</v>
      </c>
      <c r="D33" s="120">
        <f>SUM(D29:D31)</f>
        <v>1210252</v>
      </c>
      <c r="E33" s="120">
        <f>SUM(E29:E31)</f>
        <v>1210252</v>
      </c>
      <c r="F33" s="121"/>
      <c r="G33" s="121">
        <f>SUM(G29:G31)</f>
        <v>0</v>
      </c>
      <c r="H33" s="121"/>
      <c r="I33" s="120">
        <f>SUM(I29:I31)</f>
        <v>71808848</v>
      </c>
      <c r="J33" s="120">
        <f>SUM(J29:J31)</f>
        <v>68831903.22999984</v>
      </c>
      <c r="K33" s="120">
        <f>SUM(K29:K31)</f>
        <v>71808848</v>
      </c>
      <c r="L33" s="120">
        <f>SUM(L29:L31)</f>
        <v>0</v>
      </c>
      <c r="M33" s="117">
        <f t="shared" si="0"/>
        <v>0</v>
      </c>
    </row>
    <row r="34" spans="1:14" s="62" customFormat="1" ht="18" customHeight="1">
      <c r="A34" s="122" t="s">
        <v>98</v>
      </c>
      <c r="B34" s="125" t="s">
        <v>18</v>
      </c>
      <c r="C34" s="114">
        <v>31033430</v>
      </c>
      <c r="D34" s="114">
        <f>E34+G34</f>
        <v>-2569777</v>
      </c>
      <c r="E34" s="114">
        <v>-2569777</v>
      </c>
      <c r="F34" s="115" t="s">
        <v>577</v>
      </c>
      <c r="G34" s="114">
        <v>0</v>
      </c>
      <c r="H34" s="465"/>
      <c r="I34" s="114">
        <v>28463653</v>
      </c>
      <c r="J34" s="114">
        <v>26834842.170000192</v>
      </c>
      <c r="K34" s="114">
        <v>28463653</v>
      </c>
      <c r="L34" s="114">
        <f>I34-K34</f>
        <v>0</v>
      </c>
      <c r="M34" s="117">
        <f t="shared" si="0"/>
        <v>0</v>
      </c>
    </row>
    <row r="35" spans="1:14" s="62" customFormat="1" ht="18" customHeight="1">
      <c r="A35" s="122" t="s">
        <v>252</v>
      </c>
      <c r="B35" s="125" t="s">
        <v>19</v>
      </c>
      <c r="C35" s="114">
        <v>15395931</v>
      </c>
      <c r="D35" s="114">
        <f>E35+G35</f>
        <v>-606055</v>
      </c>
      <c r="E35" s="114">
        <v>-606055</v>
      </c>
      <c r="F35" s="115" t="s">
        <v>578</v>
      </c>
      <c r="G35" s="114">
        <v>0</v>
      </c>
      <c r="H35" s="116"/>
      <c r="I35" s="114">
        <v>14789876</v>
      </c>
      <c r="J35" s="114">
        <v>14046898.519999865</v>
      </c>
      <c r="K35" s="114">
        <v>14789876</v>
      </c>
      <c r="L35" s="114">
        <f>I35-K35</f>
        <v>0</v>
      </c>
      <c r="M35" s="117">
        <f t="shared" si="0"/>
        <v>0</v>
      </c>
    </row>
    <row r="36" spans="1:14" s="62" customFormat="1" ht="18" customHeight="1">
      <c r="A36" s="122" t="s">
        <v>253</v>
      </c>
      <c r="B36" s="125" t="s">
        <v>20</v>
      </c>
      <c r="C36" s="114">
        <v>1024990</v>
      </c>
      <c r="D36" s="114">
        <f>E36+G36</f>
        <v>238281</v>
      </c>
      <c r="E36" s="114">
        <v>238281</v>
      </c>
      <c r="F36" s="115" t="s">
        <v>579</v>
      </c>
      <c r="G36" s="114">
        <v>0</v>
      </c>
      <c r="H36" s="465"/>
      <c r="I36" s="114">
        <v>1263271</v>
      </c>
      <c r="J36" s="114">
        <v>1188293.8100000096</v>
      </c>
      <c r="K36" s="114">
        <v>1263271</v>
      </c>
      <c r="L36" s="114">
        <f>I36-K36</f>
        <v>0</v>
      </c>
      <c r="M36" s="117">
        <f t="shared" si="0"/>
        <v>0</v>
      </c>
    </row>
    <row r="37" spans="1:14" s="62" customFormat="1" ht="18" customHeight="1">
      <c r="A37" s="122" t="s">
        <v>254</v>
      </c>
      <c r="B37" s="125" t="s">
        <v>21</v>
      </c>
      <c r="C37" s="114">
        <v>44325535</v>
      </c>
      <c r="D37" s="114">
        <f>E37+G37</f>
        <v>-801439</v>
      </c>
      <c r="E37" s="114">
        <v>-801439</v>
      </c>
      <c r="F37" s="115" t="s">
        <v>580</v>
      </c>
      <c r="G37" s="114">
        <v>0</v>
      </c>
      <c r="H37" s="465"/>
      <c r="I37" s="114">
        <v>43524096</v>
      </c>
      <c r="J37" s="114">
        <v>41026255.799999788</v>
      </c>
      <c r="K37" s="114">
        <v>43524096</v>
      </c>
      <c r="L37" s="114">
        <f>I37-K37</f>
        <v>0</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350</v>
      </c>
      <c r="B39" s="119"/>
      <c r="C39" s="120">
        <v>91779886</v>
      </c>
      <c r="D39" s="120">
        <f>SUM(D34:D38)</f>
        <v>-3738990</v>
      </c>
      <c r="E39" s="120">
        <f>SUM(E34:E38)</f>
        <v>-3738990</v>
      </c>
      <c r="F39" s="121"/>
      <c r="G39" s="121">
        <f>SUM(G34:G38)</f>
        <v>0</v>
      </c>
      <c r="H39" s="121"/>
      <c r="I39" s="120">
        <f>SUM(I34:I38)</f>
        <v>88040896</v>
      </c>
      <c r="J39" s="120">
        <f>SUM(J34:J38)</f>
        <v>83096290.299999863</v>
      </c>
      <c r="K39" s="120">
        <f>SUM(K34:K38)</f>
        <v>88040896</v>
      </c>
      <c r="L39" s="120">
        <f>SUM(L34:L38)</f>
        <v>0</v>
      </c>
      <c r="M39" s="117">
        <f>I39-C39-D39</f>
        <v>0</v>
      </c>
      <c r="N39" s="62"/>
    </row>
    <row r="40" spans="1:14" s="62" customFormat="1" ht="18" customHeight="1">
      <c r="A40" s="122" t="s">
        <v>99</v>
      </c>
      <c r="B40" s="123" t="s">
        <v>110</v>
      </c>
      <c r="C40" s="114">
        <v>27833087</v>
      </c>
      <c r="D40" s="114">
        <f>E40+G40</f>
        <v>8153158</v>
      </c>
      <c r="E40" s="114">
        <v>8153158</v>
      </c>
      <c r="F40" s="115" t="s">
        <v>481</v>
      </c>
      <c r="G40" s="114">
        <v>0</v>
      </c>
      <c r="H40" s="115"/>
      <c r="I40" s="114">
        <v>35986245</v>
      </c>
      <c r="J40" s="114">
        <v>28066358.119999886</v>
      </c>
      <c r="K40" s="114">
        <v>35986245</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351</v>
      </c>
      <c r="B42" s="119"/>
      <c r="C42" s="120">
        <v>27833087</v>
      </c>
      <c r="D42" s="120">
        <f>SUM(D40:D40)</f>
        <v>8153158</v>
      </c>
      <c r="E42" s="120">
        <v>8153158</v>
      </c>
      <c r="F42" s="121"/>
      <c r="G42" s="120">
        <f>SUM(G40:G40)</f>
        <v>0</v>
      </c>
      <c r="H42" s="121"/>
      <c r="I42" s="120">
        <f>SUM(I40:I40)</f>
        <v>35986245</v>
      </c>
      <c r="J42" s="120">
        <f>SUM(J40:J40)</f>
        <v>28066358.119999886</v>
      </c>
      <c r="K42" s="120">
        <f>SUM(K40:K40)</f>
        <v>35986245</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v>2233349693</v>
      </c>
      <c r="D44" s="386">
        <f>SUM(D42,D39,D33,D28,D20,D7,)</f>
        <v>89118462</v>
      </c>
      <c r="E44" s="386">
        <f>SUM(E42,E39,E33,E28,E20,E7,)</f>
        <v>79779952</v>
      </c>
      <c r="F44" s="133"/>
      <c r="G44" s="133">
        <f>SUM(G42,G39,G33,G28,G20,G7,)</f>
        <v>9338510</v>
      </c>
      <c r="H44" s="464"/>
      <c r="I44" s="133">
        <f>SUM(I42,I39,I33,I28,I20,I7,)</f>
        <v>2322468155</v>
      </c>
      <c r="J44" s="133">
        <f>SUM(J42,J39,J33,J28,J20,J7,)</f>
        <v>2207244296.3399944</v>
      </c>
      <c r="K44" s="133">
        <f>SUM(K42,K39,K33,K28,K20,K7,)</f>
        <v>2259994954</v>
      </c>
      <c r="L44" s="133">
        <f>SUM(L42,L39,L33,L28,L20,L7,)</f>
        <v>62473201</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1303186351</v>
      </c>
      <c r="D47" s="114">
        <f>I47-C47</f>
        <v>-160880501</v>
      </c>
      <c r="E47" s="114">
        <v>-160880501</v>
      </c>
      <c r="F47" s="115"/>
      <c r="G47" s="114">
        <v>0</v>
      </c>
      <c r="H47" s="115"/>
      <c r="I47" s="114">
        <v>1142305850</v>
      </c>
      <c r="J47" s="114">
        <v>1112702002.9999456</v>
      </c>
      <c r="K47" s="114">
        <v>1110255561</v>
      </c>
      <c r="L47" s="114">
        <f>I47-K47</f>
        <v>32050289</v>
      </c>
      <c r="M47" s="117">
        <f t="shared" si="0"/>
        <v>0</v>
      </c>
      <c r="N47" s="62"/>
    </row>
    <row r="48" spans="1:14"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c r="N48" s="62"/>
    </row>
    <row r="49" spans="1:14" s="71" customFormat="1" ht="18" customHeight="1">
      <c r="A49" s="136"/>
      <c r="B49" s="137" t="s">
        <v>49</v>
      </c>
      <c r="C49" s="114">
        <v>1308872052</v>
      </c>
      <c r="D49" s="114">
        <f>SUM(D46:D48)</f>
        <v>-160880501</v>
      </c>
      <c r="E49" s="114">
        <v>-160880501</v>
      </c>
      <c r="F49" s="115"/>
      <c r="G49" s="114">
        <f>SUM(G47:G48)</f>
        <v>0</v>
      </c>
      <c r="H49" s="115"/>
      <c r="I49" s="114">
        <f>SUM(I47:I48)</f>
        <v>1147991551</v>
      </c>
      <c r="J49" s="114">
        <f>SUM(J47:J48)</f>
        <v>1118387703.9999456</v>
      </c>
      <c r="K49" s="114">
        <f>SUM(K47:K48)</f>
        <v>1115941262</v>
      </c>
      <c r="L49" s="114">
        <f>I49-K49</f>
        <v>32050289</v>
      </c>
      <c r="M49" s="117">
        <f t="shared" si="0"/>
        <v>0</v>
      </c>
      <c r="N49" s="62"/>
    </row>
    <row r="50" spans="1:14" s="74" customFormat="1" ht="18" customHeight="1">
      <c r="A50" s="126"/>
      <c r="B50" s="123" t="s">
        <v>6</v>
      </c>
      <c r="C50" s="114">
        <v>917884262</v>
      </c>
      <c r="D50" s="114">
        <f>I50-C50</f>
        <v>246880005</v>
      </c>
      <c r="E50" s="114">
        <v>237541495</v>
      </c>
      <c r="F50" s="115"/>
      <c r="G50" s="114">
        <v>9338510</v>
      </c>
      <c r="H50" s="115"/>
      <c r="I50" s="114">
        <v>1164764267</v>
      </c>
      <c r="J50" s="114">
        <v>1077786333.2599823</v>
      </c>
      <c r="K50" s="114">
        <v>1134341355</v>
      </c>
      <c r="L50" s="114">
        <f>I50-K50</f>
        <v>30422912</v>
      </c>
      <c r="M50" s="117">
        <f t="shared" si="0"/>
        <v>0</v>
      </c>
      <c r="N50" s="62"/>
    </row>
    <row r="51" spans="1:14" s="74" customFormat="1" ht="18" customHeight="1">
      <c r="A51" s="126"/>
      <c r="B51" s="123" t="s">
        <v>34</v>
      </c>
      <c r="C51" s="114">
        <v>6593379</v>
      </c>
      <c r="D51" s="114">
        <f>I51-C51</f>
        <v>3118958</v>
      </c>
      <c r="E51" s="114">
        <v>3118958</v>
      </c>
      <c r="F51" s="115"/>
      <c r="G51" s="114">
        <v>0</v>
      </c>
      <c r="H51" s="115"/>
      <c r="I51" s="114">
        <v>9712337</v>
      </c>
      <c r="J51" s="114">
        <v>11070259.080000017</v>
      </c>
      <c r="K51" s="114">
        <v>9712337</v>
      </c>
      <c r="L51" s="114">
        <f>I51-K51</f>
        <v>0</v>
      </c>
      <c r="M51" s="117">
        <f t="shared" si="0"/>
        <v>0</v>
      </c>
      <c r="N51" s="62"/>
    </row>
    <row r="52" spans="1:14" s="71" customFormat="1" ht="18" customHeight="1">
      <c r="A52" s="118" t="s">
        <v>35</v>
      </c>
      <c r="B52" s="138"/>
      <c r="C52" s="120">
        <v>2233349693</v>
      </c>
      <c r="D52" s="120">
        <f>SUM(D49:D51)</f>
        <v>89118462</v>
      </c>
      <c r="E52" s="120">
        <f>SUM(E49:E51)</f>
        <v>79779952</v>
      </c>
      <c r="F52" s="313"/>
      <c r="G52" s="120">
        <f>SUM(G49:G51)</f>
        <v>9338510</v>
      </c>
      <c r="H52" s="313"/>
      <c r="I52" s="120">
        <f>SUM(I49:I51)</f>
        <v>2322468155</v>
      </c>
      <c r="J52" s="120">
        <f>SUM(J49:J51)</f>
        <v>2207244296.3399277</v>
      </c>
      <c r="K52" s="120">
        <f>SUM(K49:K51)</f>
        <v>2259994954</v>
      </c>
      <c r="L52" s="120">
        <f>SUM(L49:L51)</f>
        <v>62473201</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74" customFormat="1" ht="18" customHeight="1">
      <c r="A54" s="516" t="s">
        <v>573</v>
      </c>
      <c r="B54" s="139" t="s">
        <v>581</v>
      </c>
      <c r="C54" s="140"/>
      <c r="D54" s="140"/>
      <c r="E54" s="140"/>
      <c r="F54" s="141"/>
      <c r="G54" s="141"/>
      <c r="H54" s="141"/>
      <c r="I54" s="140"/>
      <c r="J54" s="140"/>
      <c r="K54" s="140"/>
      <c r="L54" s="140"/>
      <c r="M54" s="142"/>
    </row>
    <row r="55" spans="1:14" s="69" customFormat="1" ht="18" customHeight="1">
      <c r="A55" s="146" t="s">
        <v>177</v>
      </c>
      <c r="B55" s="146" t="s">
        <v>374</v>
      </c>
      <c r="C55" s="149"/>
      <c r="D55" s="149"/>
      <c r="E55" s="149"/>
      <c r="F55" s="149"/>
      <c r="G55" s="144"/>
      <c r="H55" s="144"/>
      <c r="I55" s="143"/>
      <c r="J55" s="143"/>
      <c r="K55" s="143"/>
      <c r="L55" s="143"/>
      <c r="M55" s="64"/>
    </row>
    <row r="56" spans="1:14" s="69" customFormat="1" ht="18" customHeight="1">
      <c r="A56" s="146" t="s">
        <v>196</v>
      </c>
      <c r="B56" s="146" t="s">
        <v>375</v>
      </c>
      <c r="C56" s="149"/>
      <c r="D56" s="149"/>
      <c r="E56" s="149"/>
      <c r="F56" s="149"/>
      <c r="G56" s="144"/>
      <c r="H56" s="144"/>
      <c r="I56" s="143"/>
      <c r="J56" s="143"/>
      <c r="K56" s="143"/>
      <c r="L56" s="143"/>
      <c r="M56" s="64"/>
    </row>
    <row r="57" spans="1:14" s="69" customFormat="1" ht="18" customHeight="1">
      <c r="A57" s="146" t="s">
        <v>193</v>
      </c>
      <c r="B57" s="146" t="s">
        <v>376</v>
      </c>
      <c r="C57" s="149"/>
      <c r="D57" s="149"/>
      <c r="E57" s="149"/>
      <c r="F57" s="149"/>
      <c r="G57" s="144"/>
      <c r="H57" s="144"/>
      <c r="I57" s="143"/>
      <c r="J57" s="143"/>
      <c r="K57" s="143"/>
      <c r="L57" s="143"/>
      <c r="M57" s="64"/>
    </row>
    <row r="58" spans="1:14" s="69" customFormat="1" ht="18" customHeight="1">
      <c r="A58" s="146" t="s">
        <v>194</v>
      </c>
      <c r="B58" s="146" t="s">
        <v>377</v>
      </c>
      <c r="C58" s="147"/>
      <c r="D58" s="147"/>
      <c r="E58" s="147"/>
      <c r="F58" s="148"/>
      <c r="G58" s="144"/>
      <c r="H58" s="144"/>
      <c r="I58" s="143"/>
      <c r="J58" s="143"/>
      <c r="K58" s="143"/>
      <c r="L58" s="143"/>
      <c r="M58" s="64"/>
    </row>
    <row r="59" spans="1:14" s="69" customFormat="1" ht="18" customHeight="1">
      <c r="A59" s="146" t="s">
        <v>176</v>
      </c>
      <c r="B59" s="146" t="s">
        <v>378</v>
      </c>
      <c r="C59" s="147"/>
      <c r="D59" s="147"/>
      <c r="E59" s="147"/>
      <c r="F59" s="148"/>
      <c r="G59" s="144"/>
      <c r="H59" s="144"/>
      <c r="I59" s="143"/>
      <c r="J59" s="143"/>
      <c r="K59" s="143"/>
      <c r="L59" s="143"/>
      <c r="M59" s="64"/>
    </row>
    <row r="60" spans="1:14" s="69" customFormat="1" ht="18" customHeight="1">
      <c r="A60" s="146" t="s">
        <v>195</v>
      </c>
      <c r="B60" s="146" t="s">
        <v>434</v>
      </c>
      <c r="C60" s="147"/>
      <c r="D60" s="147"/>
      <c r="E60" s="147"/>
      <c r="F60" s="148"/>
      <c r="G60" s="144"/>
      <c r="H60" s="144"/>
      <c r="I60" s="143"/>
      <c r="J60" s="143"/>
      <c r="K60" s="143"/>
      <c r="L60" s="143"/>
      <c r="M60" s="64"/>
    </row>
    <row r="61" spans="1:14" s="69" customFormat="1" ht="18" customHeight="1">
      <c r="A61" s="146" t="s">
        <v>157</v>
      </c>
      <c r="B61" s="146" t="s">
        <v>379</v>
      </c>
      <c r="C61" s="149"/>
      <c r="D61" s="149"/>
      <c r="E61" s="149"/>
      <c r="F61" s="149"/>
      <c r="G61" s="144"/>
      <c r="H61" s="144"/>
      <c r="I61" s="143"/>
      <c r="J61" s="143"/>
      <c r="K61" s="143"/>
      <c r="L61" s="143"/>
      <c r="M61" s="64"/>
    </row>
    <row r="62" spans="1:14" s="69" customFormat="1" ht="18" customHeight="1">
      <c r="A62" s="146" t="s">
        <v>297</v>
      </c>
      <c r="B62" s="146" t="s">
        <v>394</v>
      </c>
      <c r="C62" s="149"/>
      <c r="D62" s="149"/>
      <c r="E62" s="149"/>
      <c r="F62" s="149"/>
      <c r="G62" s="144"/>
      <c r="H62" s="144"/>
      <c r="I62" s="143"/>
      <c r="J62" s="143"/>
      <c r="K62" s="143"/>
      <c r="L62" s="143"/>
      <c r="M62" s="64"/>
    </row>
    <row r="63" spans="1:14" s="69" customFormat="1" ht="18" customHeight="1">
      <c r="A63" s="146" t="s">
        <v>296</v>
      </c>
      <c r="B63" s="146" t="s">
        <v>395</v>
      </c>
      <c r="C63" s="149"/>
      <c r="D63" s="149"/>
      <c r="E63" s="149"/>
      <c r="F63" s="149"/>
      <c r="G63" s="144"/>
      <c r="H63" s="144"/>
      <c r="I63" s="143"/>
      <c r="J63" s="143"/>
      <c r="K63" s="143"/>
      <c r="L63" s="143"/>
      <c r="M63" s="64"/>
    </row>
    <row r="64" spans="1:14" s="69" customFormat="1" ht="18" customHeight="1">
      <c r="A64" s="146" t="s">
        <v>197</v>
      </c>
      <c r="B64" s="146" t="s">
        <v>396</v>
      </c>
      <c r="C64" s="149"/>
      <c r="D64" s="149"/>
      <c r="E64" s="149"/>
      <c r="F64" s="149"/>
      <c r="G64" s="144"/>
      <c r="H64" s="144"/>
      <c r="I64" s="143"/>
      <c r="J64" s="143"/>
      <c r="K64" s="143"/>
      <c r="L64" s="143"/>
      <c r="M64" s="64"/>
    </row>
    <row r="65" spans="1:13" s="69" customFormat="1" ht="18" customHeight="1">
      <c r="A65" s="146" t="s">
        <v>236</v>
      </c>
      <c r="B65" s="146" t="s">
        <v>433</v>
      </c>
      <c r="C65" s="147"/>
      <c r="D65" s="147"/>
      <c r="E65" s="147"/>
      <c r="F65" s="148"/>
      <c r="G65" s="144"/>
      <c r="H65" s="144"/>
      <c r="I65" s="143"/>
      <c r="J65" s="143"/>
      <c r="K65" s="143"/>
      <c r="L65" s="143"/>
      <c r="M65" s="64"/>
    </row>
    <row r="66" spans="1:13" s="69" customFormat="1" ht="18" customHeight="1">
      <c r="A66" s="146" t="s">
        <v>349</v>
      </c>
      <c r="B66" s="146" t="s">
        <v>436</v>
      </c>
      <c r="C66" s="147"/>
      <c r="D66" s="147"/>
      <c r="E66" s="147"/>
      <c r="F66" s="148"/>
      <c r="G66" s="144"/>
      <c r="H66" s="144"/>
      <c r="I66" s="143"/>
      <c r="J66" s="143"/>
      <c r="K66" s="143"/>
      <c r="L66" s="143"/>
      <c r="M66" s="64"/>
    </row>
    <row r="67" spans="1:13" s="69" customFormat="1" ht="18" customHeight="1">
      <c r="A67" s="146" t="s">
        <v>363</v>
      </c>
      <c r="B67" s="146" t="s">
        <v>459</v>
      </c>
      <c r="C67" s="147"/>
      <c r="D67" s="147"/>
      <c r="E67" s="147"/>
      <c r="F67" s="148"/>
      <c r="G67" s="144"/>
      <c r="H67" s="144"/>
      <c r="I67" s="143"/>
      <c r="J67" s="143"/>
      <c r="K67" s="143"/>
      <c r="L67" s="143"/>
      <c r="M67" s="64"/>
    </row>
    <row r="68" spans="1:13" s="69" customFormat="1" ht="18" customHeight="1">
      <c r="A68" s="146" t="s">
        <v>304</v>
      </c>
      <c r="B68" s="146" t="s">
        <v>460</v>
      </c>
      <c r="C68" s="147"/>
      <c r="D68" s="147"/>
      <c r="E68" s="147"/>
      <c r="F68" s="148"/>
      <c r="G68" s="144"/>
      <c r="H68" s="144"/>
      <c r="I68" s="143"/>
      <c r="J68" s="143"/>
      <c r="K68" s="143"/>
      <c r="L68" s="143"/>
      <c r="M68" s="64"/>
    </row>
    <row r="69" spans="1:13" s="69" customFormat="1" ht="18" customHeight="1">
      <c r="A69" s="146" t="s">
        <v>202</v>
      </c>
      <c r="B69" s="146" t="s">
        <v>461</v>
      </c>
      <c r="C69" s="147"/>
      <c r="D69" s="147"/>
      <c r="E69" s="147"/>
      <c r="F69" s="148"/>
      <c r="G69" s="144"/>
      <c r="H69" s="144"/>
      <c r="I69" s="143"/>
      <c r="J69" s="143"/>
      <c r="K69" s="143"/>
      <c r="L69" s="143"/>
      <c r="M69" s="64"/>
    </row>
    <row r="70" spans="1:13" s="69" customFormat="1" ht="18" customHeight="1">
      <c r="A70" s="146" t="s">
        <v>237</v>
      </c>
      <c r="B70" s="146" t="s">
        <v>458</v>
      </c>
      <c r="C70" s="147"/>
      <c r="D70" s="147"/>
      <c r="E70" s="147"/>
      <c r="F70" s="148"/>
      <c r="G70" s="144"/>
      <c r="H70" s="144"/>
      <c r="I70" s="143"/>
      <c r="J70" s="143"/>
      <c r="K70" s="143"/>
      <c r="L70" s="143"/>
      <c r="M70" s="64"/>
    </row>
    <row r="71" spans="1:13" s="69" customFormat="1" ht="18" customHeight="1">
      <c r="A71" s="146" t="s">
        <v>366</v>
      </c>
      <c r="B71" s="146" t="s">
        <v>462</v>
      </c>
      <c r="C71" s="76"/>
      <c r="D71" s="76"/>
      <c r="E71" s="76"/>
      <c r="F71" s="77"/>
      <c r="G71" s="77"/>
      <c r="H71" s="77"/>
      <c r="I71" s="76"/>
      <c r="J71" s="76"/>
      <c r="K71" s="76"/>
      <c r="L71" s="76"/>
      <c r="M71" s="68"/>
    </row>
    <row r="72" spans="1:13" s="69" customFormat="1" ht="18" customHeight="1">
      <c r="A72" s="146" t="s">
        <v>476</v>
      </c>
      <c r="B72" s="146" t="s">
        <v>478</v>
      </c>
      <c r="C72" s="76"/>
      <c r="D72" s="76"/>
      <c r="E72" s="76"/>
      <c r="F72" s="77"/>
      <c r="G72" s="77"/>
      <c r="H72" s="77"/>
      <c r="I72" s="76"/>
      <c r="J72" s="76"/>
      <c r="K72" s="76"/>
      <c r="L72" s="76"/>
      <c r="M72" s="68"/>
    </row>
    <row r="73" spans="1:13" s="69" customFormat="1" ht="18" customHeight="1">
      <c r="A73" s="146" t="s">
        <v>477</v>
      </c>
      <c r="B73" s="146" t="s">
        <v>479</v>
      </c>
      <c r="C73" s="76"/>
      <c r="D73" s="76"/>
      <c r="E73" s="76"/>
      <c r="F73" s="77"/>
      <c r="G73" s="77"/>
      <c r="H73" s="77"/>
      <c r="I73" s="76"/>
      <c r="J73" s="76"/>
      <c r="K73" s="76"/>
      <c r="L73" s="76"/>
      <c r="M73" s="68"/>
    </row>
    <row r="74" spans="1:13" s="69" customFormat="1" ht="18" customHeight="1">
      <c r="A74" s="146" t="s">
        <v>466</v>
      </c>
      <c r="B74" s="146" t="s">
        <v>467</v>
      </c>
      <c r="C74" s="76"/>
      <c r="D74" s="76"/>
      <c r="E74" s="76"/>
      <c r="F74" s="77"/>
      <c r="G74" s="77"/>
      <c r="H74" s="77"/>
      <c r="I74" s="76"/>
      <c r="J74" s="76"/>
      <c r="K74" s="76"/>
      <c r="L74" s="76"/>
      <c r="M74" s="68"/>
    </row>
    <row r="75" spans="1:13" s="69" customFormat="1" ht="18" customHeight="1">
      <c r="A75" s="69" t="s">
        <v>480</v>
      </c>
      <c r="B75" s="146" t="s">
        <v>482</v>
      </c>
      <c r="C75" s="76"/>
      <c r="D75" s="76"/>
      <c r="E75" s="76"/>
      <c r="F75" s="77"/>
      <c r="G75" s="77"/>
      <c r="H75" s="77"/>
      <c r="I75" s="76"/>
      <c r="J75" s="76"/>
      <c r="K75" s="76"/>
      <c r="L75" s="76"/>
      <c r="M75" s="68"/>
    </row>
    <row r="76" spans="1:13" s="69" customFormat="1" ht="18" customHeight="1">
      <c r="A76" s="69" t="s">
        <v>633</v>
      </c>
      <c r="B76" s="146" t="s">
        <v>648</v>
      </c>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B63C-873E-4552-8C32-7A48CF4EB0B3}">
  <dimension ref="A1:K49"/>
  <sheetViews>
    <sheetView zoomScale="75" zoomScaleNormal="75" workbookViewId="0">
      <selection sqref="A1:I1"/>
    </sheetView>
  </sheetViews>
  <sheetFormatPr defaultColWidth="13.33203125" defaultRowHeight="12.6"/>
  <cols>
    <col min="1" max="1" width="15.5546875" style="518" customWidth="1"/>
    <col min="2" max="2" width="50.44140625" style="518" customWidth="1"/>
    <col min="3" max="3" width="17.77734375" style="518" customWidth="1"/>
    <col min="4" max="4" width="15.33203125" style="518" customWidth="1"/>
    <col min="5" max="5" width="15.5546875" style="518" customWidth="1"/>
    <col min="6" max="6" width="14.33203125" style="518" customWidth="1"/>
    <col min="7" max="7" width="14.5546875" style="518" customWidth="1"/>
    <col min="8" max="8" width="15.109375" style="518" customWidth="1"/>
    <col min="9" max="9" width="16.77734375" style="518" customWidth="1"/>
    <col min="10" max="16384" width="13.33203125" style="518"/>
  </cols>
  <sheetData>
    <row r="1" spans="1:11" ht="15.6">
      <c r="A1" s="631" t="s">
        <v>3</v>
      </c>
      <c r="B1" s="631"/>
      <c r="C1" s="631"/>
      <c r="D1" s="631"/>
      <c r="E1" s="631"/>
      <c r="F1" s="631"/>
      <c r="G1" s="631"/>
      <c r="H1" s="631"/>
      <c r="I1" s="631"/>
    </row>
    <row r="2" spans="1:11" ht="15.6">
      <c r="A2" s="631" t="s">
        <v>557</v>
      </c>
      <c r="B2" s="631"/>
      <c r="C2" s="631"/>
      <c r="D2" s="631"/>
      <c r="E2" s="631"/>
      <c r="F2" s="631"/>
      <c r="G2" s="631"/>
      <c r="H2" s="631"/>
      <c r="I2" s="631"/>
    </row>
    <row r="3" spans="1:11" ht="15.6">
      <c r="A3" s="631" t="s">
        <v>649</v>
      </c>
      <c r="B3" s="631"/>
      <c r="C3" s="631"/>
      <c r="D3" s="631"/>
      <c r="E3" s="631"/>
      <c r="F3" s="631"/>
      <c r="G3" s="631"/>
      <c r="H3" s="631"/>
      <c r="I3" s="631"/>
    </row>
    <row r="4" spans="1:11" ht="12" customHeight="1">
      <c r="A4" s="519"/>
      <c r="B4" s="519"/>
      <c r="C4" s="520"/>
      <c r="D4" s="521"/>
      <c r="E4" s="520"/>
      <c r="F4" s="520"/>
      <c r="G4" s="520"/>
      <c r="H4" s="520"/>
      <c r="I4" s="440"/>
    </row>
    <row r="5" spans="1:11" ht="46.8">
      <c r="A5" s="522" t="s">
        <v>1</v>
      </c>
      <c r="B5" s="523" t="s">
        <v>0</v>
      </c>
      <c r="C5" s="439" t="s">
        <v>182</v>
      </c>
      <c r="D5" s="438" t="s">
        <v>30</v>
      </c>
      <c r="E5" s="437" t="s">
        <v>234</v>
      </c>
      <c r="F5" s="437" t="s">
        <v>31</v>
      </c>
      <c r="G5" s="437" t="s">
        <v>129</v>
      </c>
      <c r="H5" s="437" t="s">
        <v>130</v>
      </c>
      <c r="I5" s="436" t="s">
        <v>169</v>
      </c>
    </row>
    <row r="6" spans="1:11" ht="15.6">
      <c r="A6" s="524" t="s">
        <v>22</v>
      </c>
      <c r="B6" s="525" t="s">
        <v>7</v>
      </c>
      <c r="C6" s="434">
        <v>488.80000000000013</v>
      </c>
      <c r="D6" s="434">
        <v>-0.60000000000013642</v>
      </c>
      <c r="E6" s="434">
        <v>488.2</v>
      </c>
      <c r="F6" s="428">
        <v>1</v>
      </c>
      <c r="G6" s="434">
        <v>455.01666666666671</v>
      </c>
      <c r="H6" s="434">
        <v>452.79999999999995</v>
      </c>
      <c r="I6" s="434">
        <v>35.400000000000034</v>
      </c>
      <c r="K6" s="526"/>
    </row>
    <row r="7" spans="1:11" ht="15.6">
      <c r="A7" s="527" t="s">
        <v>288</v>
      </c>
      <c r="B7" s="528"/>
      <c r="C7" s="426">
        <v>488.80000000000013</v>
      </c>
      <c r="D7" s="426">
        <v>-0.60000000000013642</v>
      </c>
      <c r="E7" s="426">
        <v>488.2</v>
      </c>
      <c r="F7" s="432"/>
      <c r="G7" s="426">
        <v>455.01666666666671</v>
      </c>
      <c r="H7" s="426">
        <v>452.79999999999995</v>
      </c>
      <c r="I7" s="426">
        <v>35.400000000000034</v>
      </c>
      <c r="K7" s="526"/>
    </row>
    <row r="8" spans="1:11" ht="15.6">
      <c r="A8" s="529" t="s">
        <v>23</v>
      </c>
      <c r="B8" s="525" t="s">
        <v>8</v>
      </c>
      <c r="C8" s="434">
        <v>10173.4</v>
      </c>
      <c r="D8" s="434">
        <v>125.49999999999818</v>
      </c>
      <c r="E8" s="434">
        <v>10298.899999999998</v>
      </c>
      <c r="F8" s="435" t="s">
        <v>564</v>
      </c>
      <c r="G8" s="434">
        <v>9619.8250000000044</v>
      </c>
      <c r="H8" s="434">
        <v>9632.0000000000164</v>
      </c>
      <c r="I8" s="434">
        <v>666.89999999998145</v>
      </c>
      <c r="K8" s="526"/>
    </row>
    <row r="9" spans="1:11" ht="15.6">
      <c r="A9" s="529" t="s">
        <v>24</v>
      </c>
      <c r="B9" s="525" t="s">
        <v>9</v>
      </c>
      <c r="C9" s="427">
        <v>621.4</v>
      </c>
      <c r="D9" s="427">
        <v>2.8999999999999773</v>
      </c>
      <c r="E9" s="427">
        <v>624.29999999999995</v>
      </c>
      <c r="F9" s="433" t="s">
        <v>565</v>
      </c>
      <c r="G9" s="427">
        <v>619.4083333333333</v>
      </c>
      <c r="H9" s="427">
        <v>613</v>
      </c>
      <c r="I9" s="427">
        <v>11.299999999999955</v>
      </c>
      <c r="K9" s="526"/>
    </row>
    <row r="10" spans="1:11" ht="15.6">
      <c r="A10" s="529" t="s">
        <v>25</v>
      </c>
      <c r="B10" s="525" t="s">
        <v>159</v>
      </c>
      <c r="C10" s="427">
        <v>0</v>
      </c>
      <c r="D10" s="427">
        <v>0</v>
      </c>
      <c r="E10" s="427">
        <v>0</v>
      </c>
      <c r="F10" s="433" t="s">
        <v>143</v>
      </c>
      <c r="G10" s="427">
        <v>0</v>
      </c>
      <c r="H10" s="427">
        <v>0</v>
      </c>
      <c r="I10" s="427">
        <v>0</v>
      </c>
      <c r="K10" s="526"/>
    </row>
    <row r="11" spans="1:11" ht="15.6">
      <c r="A11" s="529" t="s">
        <v>26</v>
      </c>
      <c r="B11" s="525" t="s">
        <v>10</v>
      </c>
      <c r="C11" s="427">
        <v>0</v>
      </c>
      <c r="D11" s="427">
        <v>0</v>
      </c>
      <c r="E11" s="427">
        <v>0</v>
      </c>
      <c r="F11" s="431"/>
      <c r="G11" s="427">
        <v>0</v>
      </c>
      <c r="H11" s="427">
        <v>0</v>
      </c>
      <c r="I11" s="427">
        <v>0</v>
      </c>
      <c r="K11" s="526"/>
    </row>
    <row r="12" spans="1:11" ht="15.6">
      <c r="A12" s="529" t="s">
        <v>27</v>
      </c>
      <c r="B12" s="525" t="s">
        <v>161</v>
      </c>
      <c r="C12" s="427">
        <v>0</v>
      </c>
      <c r="D12" s="427">
        <v>0</v>
      </c>
      <c r="E12" s="427">
        <v>0</v>
      </c>
      <c r="F12" s="431"/>
      <c r="G12" s="427">
        <v>0</v>
      </c>
      <c r="H12" s="427">
        <v>0</v>
      </c>
      <c r="I12" s="427">
        <v>0</v>
      </c>
      <c r="K12" s="526"/>
    </row>
    <row r="13" spans="1:11" ht="15.6">
      <c r="A13" s="529" t="s">
        <v>100</v>
      </c>
      <c r="B13" s="525" t="s">
        <v>11</v>
      </c>
      <c r="C13" s="427">
        <v>0</v>
      </c>
      <c r="D13" s="427">
        <v>0</v>
      </c>
      <c r="E13" s="427">
        <v>0</v>
      </c>
      <c r="F13" s="431"/>
      <c r="G13" s="427">
        <v>0</v>
      </c>
      <c r="H13" s="427">
        <v>0</v>
      </c>
      <c r="I13" s="427">
        <v>0</v>
      </c>
      <c r="K13" s="526"/>
    </row>
    <row r="14" spans="1:11" ht="15.6">
      <c r="A14" s="529" t="s">
        <v>101</v>
      </c>
      <c r="B14" s="525" t="s">
        <v>170</v>
      </c>
      <c r="C14" s="427">
        <v>0</v>
      </c>
      <c r="D14" s="427">
        <v>0</v>
      </c>
      <c r="E14" s="427">
        <v>0</v>
      </c>
      <c r="F14" s="431"/>
      <c r="G14" s="427">
        <v>0</v>
      </c>
      <c r="H14" s="427">
        <v>0</v>
      </c>
      <c r="I14" s="427">
        <v>0</v>
      </c>
      <c r="K14" s="526"/>
    </row>
    <row r="15" spans="1:11" ht="15.6">
      <c r="A15" s="529" t="s">
        <v>102</v>
      </c>
      <c r="B15" s="525" t="s">
        <v>12</v>
      </c>
      <c r="C15" s="427">
        <v>0</v>
      </c>
      <c r="D15" s="427">
        <v>0</v>
      </c>
      <c r="E15" s="427">
        <v>0</v>
      </c>
      <c r="F15" s="431"/>
      <c r="G15" s="427">
        <v>0</v>
      </c>
      <c r="H15" s="427">
        <v>0</v>
      </c>
      <c r="I15" s="427">
        <v>0</v>
      </c>
      <c r="K15" s="526"/>
    </row>
    <row r="16" spans="1:11" ht="15.6">
      <c r="A16" s="529" t="s">
        <v>103</v>
      </c>
      <c r="B16" s="525" t="s">
        <v>13</v>
      </c>
      <c r="C16" s="427">
        <v>0</v>
      </c>
      <c r="D16" s="427">
        <v>0</v>
      </c>
      <c r="E16" s="427">
        <v>0</v>
      </c>
      <c r="F16" s="431"/>
      <c r="G16" s="427">
        <v>0</v>
      </c>
      <c r="H16" s="427">
        <v>0</v>
      </c>
      <c r="I16" s="427">
        <v>0</v>
      </c>
      <c r="K16" s="526"/>
    </row>
    <row r="17" spans="1:11" ht="15.6">
      <c r="A17" s="529" t="s">
        <v>104</v>
      </c>
      <c r="B17" s="525" t="s">
        <v>123</v>
      </c>
      <c r="C17" s="427">
        <v>0</v>
      </c>
      <c r="D17" s="427">
        <v>0</v>
      </c>
      <c r="E17" s="427">
        <v>0</v>
      </c>
      <c r="F17" s="431"/>
      <c r="G17" s="427">
        <v>0</v>
      </c>
      <c r="H17" s="427">
        <v>0</v>
      </c>
      <c r="I17" s="427">
        <v>0</v>
      </c>
      <c r="K17" s="526"/>
    </row>
    <row r="18" spans="1:11" ht="15.6">
      <c r="A18" s="529" t="s">
        <v>105</v>
      </c>
      <c r="B18" s="525" t="s">
        <v>166</v>
      </c>
      <c r="C18" s="427">
        <v>0</v>
      </c>
      <c r="D18" s="427">
        <v>0</v>
      </c>
      <c r="E18" s="427">
        <v>0</v>
      </c>
      <c r="F18" s="431"/>
      <c r="G18" s="427">
        <v>0</v>
      </c>
      <c r="H18" s="427">
        <v>0</v>
      </c>
      <c r="I18" s="427">
        <v>0</v>
      </c>
      <c r="K18" s="526"/>
    </row>
    <row r="19" spans="1:11" ht="15.6">
      <c r="A19" s="527" t="s">
        <v>289</v>
      </c>
      <c r="B19" s="528"/>
      <c r="C19" s="426">
        <v>10794.8</v>
      </c>
      <c r="D19" s="426">
        <v>128.39999999999816</v>
      </c>
      <c r="E19" s="426">
        <v>10923.199999999997</v>
      </c>
      <c r="F19" s="432"/>
      <c r="G19" s="426">
        <v>10239.233333333337</v>
      </c>
      <c r="H19" s="426">
        <v>10245.000000000016</v>
      </c>
      <c r="I19" s="426">
        <v>678.1999999999814</v>
      </c>
      <c r="K19" s="526"/>
    </row>
    <row r="20" spans="1:11" ht="15.6">
      <c r="A20" s="529" t="s">
        <v>28</v>
      </c>
      <c r="B20" s="525" t="s">
        <v>14</v>
      </c>
      <c r="C20" s="427">
        <v>0</v>
      </c>
      <c r="D20" s="427">
        <v>0</v>
      </c>
      <c r="E20" s="427">
        <v>0</v>
      </c>
      <c r="F20" s="431"/>
      <c r="G20" s="427">
        <v>0</v>
      </c>
      <c r="H20" s="427">
        <v>0</v>
      </c>
      <c r="I20" s="427">
        <v>0</v>
      </c>
      <c r="K20" s="526"/>
    </row>
    <row r="21" spans="1:11" ht="15.6">
      <c r="A21" s="529" t="s">
        <v>106</v>
      </c>
      <c r="B21" s="525" t="s">
        <v>15</v>
      </c>
      <c r="C21" s="427">
        <v>0</v>
      </c>
      <c r="D21" s="427">
        <v>0</v>
      </c>
      <c r="E21" s="427">
        <v>0</v>
      </c>
      <c r="F21" s="431"/>
      <c r="G21" s="427">
        <v>0</v>
      </c>
      <c r="H21" s="427">
        <v>0</v>
      </c>
      <c r="I21" s="427">
        <v>0</v>
      </c>
      <c r="K21" s="526"/>
    </row>
    <row r="22" spans="1:11" ht="15.6">
      <c r="A22" s="529" t="s">
        <v>107</v>
      </c>
      <c r="B22" s="525" t="s">
        <v>16</v>
      </c>
      <c r="C22" s="427">
        <v>2</v>
      </c>
      <c r="D22" s="427">
        <v>0</v>
      </c>
      <c r="E22" s="427">
        <v>2</v>
      </c>
      <c r="F22" s="431"/>
      <c r="G22" s="427">
        <v>3</v>
      </c>
      <c r="H22" s="427">
        <v>3</v>
      </c>
      <c r="I22" s="427">
        <v>-1</v>
      </c>
      <c r="K22" s="526"/>
    </row>
    <row r="23" spans="1:11" ht="15.6">
      <c r="A23" s="529" t="s">
        <v>93</v>
      </c>
      <c r="B23" s="525" t="s">
        <v>127</v>
      </c>
      <c r="C23" s="427">
        <v>6</v>
      </c>
      <c r="D23" s="427">
        <v>1.0999999999999996</v>
      </c>
      <c r="E23" s="427">
        <v>7.1</v>
      </c>
      <c r="F23" s="428">
        <v>1</v>
      </c>
      <c r="G23" s="427">
        <v>8.2837679983060415</v>
      </c>
      <c r="H23" s="427">
        <v>6.78125</v>
      </c>
      <c r="I23" s="427">
        <v>0.31874999999999964</v>
      </c>
      <c r="K23" s="526"/>
    </row>
    <row r="24" spans="1:11" ht="15.6">
      <c r="A24" s="529" t="s">
        <v>94</v>
      </c>
      <c r="B24" s="525" t="s">
        <v>290</v>
      </c>
      <c r="C24" s="427">
        <v>0</v>
      </c>
      <c r="D24" s="427">
        <v>0</v>
      </c>
      <c r="E24" s="427">
        <v>0</v>
      </c>
      <c r="F24" s="431"/>
      <c r="G24" s="427">
        <v>0</v>
      </c>
      <c r="H24" s="427">
        <v>0</v>
      </c>
      <c r="I24" s="427">
        <v>0</v>
      </c>
      <c r="K24" s="526"/>
    </row>
    <row r="25" spans="1:11" ht="15.6">
      <c r="A25" s="529" t="s">
        <v>108</v>
      </c>
      <c r="B25" s="525" t="s">
        <v>128</v>
      </c>
      <c r="C25" s="427">
        <v>57.1</v>
      </c>
      <c r="D25" s="427">
        <v>0.5</v>
      </c>
      <c r="E25" s="427">
        <v>57.6</v>
      </c>
      <c r="F25" s="428">
        <v>1</v>
      </c>
      <c r="G25" s="427">
        <v>53.9</v>
      </c>
      <c r="H25" s="427">
        <v>50.499999999999993</v>
      </c>
      <c r="I25" s="427">
        <v>7.1000000000000085</v>
      </c>
      <c r="K25" s="526"/>
    </row>
    <row r="26" spans="1:11" ht="15.6">
      <c r="A26" s="527" t="s">
        <v>291</v>
      </c>
      <c r="B26" s="528"/>
      <c r="C26" s="426">
        <v>65.099999999999994</v>
      </c>
      <c r="D26" s="426">
        <v>1.5999999999999996</v>
      </c>
      <c r="E26" s="426">
        <v>66.7</v>
      </c>
      <c r="F26" s="432"/>
      <c r="G26" s="426">
        <v>65.183767998306038</v>
      </c>
      <c r="H26" s="426">
        <v>60.281249999999993</v>
      </c>
      <c r="I26" s="426">
        <v>6.4187500000000082</v>
      </c>
      <c r="K26" s="526"/>
    </row>
    <row r="27" spans="1:11" ht="15.6">
      <c r="A27" s="529" t="s">
        <v>95</v>
      </c>
      <c r="B27" s="525" t="s">
        <v>17</v>
      </c>
      <c r="C27" s="427">
        <v>802.8</v>
      </c>
      <c r="D27" s="427">
        <v>2.8000000000000682</v>
      </c>
      <c r="E27" s="427">
        <v>805.6</v>
      </c>
      <c r="F27" s="428">
        <v>1</v>
      </c>
      <c r="G27" s="427">
        <v>749.24999999999989</v>
      </c>
      <c r="H27" s="427">
        <v>764.89999999999975</v>
      </c>
      <c r="I27" s="427">
        <v>40.700000000000273</v>
      </c>
      <c r="K27" s="526"/>
    </row>
    <row r="28" spans="1:11" ht="15.6">
      <c r="A28" s="529" t="s">
        <v>96</v>
      </c>
      <c r="B28" s="525" t="s">
        <v>109</v>
      </c>
      <c r="C28" s="427">
        <v>46</v>
      </c>
      <c r="D28" s="427">
        <v>-4.1000000000000014</v>
      </c>
      <c r="E28" s="427">
        <v>41.9</v>
      </c>
      <c r="F28" s="428">
        <v>1</v>
      </c>
      <c r="G28" s="427">
        <v>49.869470468560593</v>
      </c>
      <c r="H28" s="427">
        <v>51.074999999999996</v>
      </c>
      <c r="I28" s="427">
        <v>-9.1749999999999972</v>
      </c>
      <c r="K28" s="526"/>
    </row>
    <row r="29" spans="1:11" ht="15.6">
      <c r="A29" s="529" t="s">
        <v>97</v>
      </c>
      <c r="B29" s="525" t="s">
        <v>171</v>
      </c>
      <c r="C29" s="427">
        <v>0</v>
      </c>
      <c r="D29" s="427">
        <v>0</v>
      </c>
      <c r="E29" s="427">
        <v>0</v>
      </c>
      <c r="F29" s="431"/>
      <c r="G29" s="427">
        <v>0</v>
      </c>
      <c r="H29" s="427">
        <v>0</v>
      </c>
      <c r="I29" s="427">
        <v>0</v>
      </c>
      <c r="K29" s="526"/>
    </row>
    <row r="30" spans="1:11" ht="15.6">
      <c r="A30" s="632" t="s">
        <v>292</v>
      </c>
      <c r="B30" s="633"/>
      <c r="C30" s="429">
        <v>848.8</v>
      </c>
      <c r="D30" s="429">
        <v>-1.2999999999999332</v>
      </c>
      <c r="E30" s="429">
        <v>847.5</v>
      </c>
      <c r="F30" s="430"/>
      <c r="G30" s="429">
        <v>799.11947046856051</v>
      </c>
      <c r="H30" s="429">
        <v>815.9749999999998</v>
      </c>
      <c r="I30" s="429">
        <v>31.525000000000276</v>
      </c>
      <c r="K30" s="526"/>
    </row>
    <row r="31" spans="1:11" ht="15.6">
      <c r="A31" s="529" t="s">
        <v>98</v>
      </c>
      <c r="B31" s="530" t="s">
        <v>18</v>
      </c>
      <c r="C31" s="427">
        <v>362.8</v>
      </c>
      <c r="D31" s="427">
        <v>-2.5500000000000114</v>
      </c>
      <c r="E31" s="427">
        <v>360.25</v>
      </c>
      <c r="F31" s="428" t="s">
        <v>609</v>
      </c>
      <c r="G31" s="427">
        <v>312.7</v>
      </c>
      <c r="H31" s="427">
        <v>308.39999999999998</v>
      </c>
      <c r="I31" s="427">
        <v>51.850000000000023</v>
      </c>
      <c r="K31" s="526"/>
    </row>
    <row r="32" spans="1:11" ht="15.6">
      <c r="A32" s="529" t="s">
        <v>252</v>
      </c>
      <c r="B32" s="525" t="s">
        <v>19</v>
      </c>
      <c r="C32" s="427">
        <v>191</v>
      </c>
      <c r="D32" s="427">
        <v>-0.80000000000001137</v>
      </c>
      <c r="E32" s="427">
        <v>190.2</v>
      </c>
      <c r="F32" s="428">
        <v>1</v>
      </c>
      <c r="G32" s="427">
        <v>181.41666666666666</v>
      </c>
      <c r="H32" s="427">
        <v>183.5</v>
      </c>
      <c r="I32" s="427">
        <v>6.6999999999999886</v>
      </c>
      <c r="K32" s="526"/>
    </row>
    <row r="33" spans="1:11" ht="15.6">
      <c r="A33" s="529" t="s">
        <v>253</v>
      </c>
      <c r="B33" s="525" t="s">
        <v>20</v>
      </c>
      <c r="C33" s="427">
        <v>19.8</v>
      </c>
      <c r="D33" s="427">
        <v>-2</v>
      </c>
      <c r="E33" s="427">
        <v>17.8</v>
      </c>
      <c r="F33" s="428">
        <v>1</v>
      </c>
      <c r="G33" s="427">
        <v>16.349999999999998</v>
      </c>
      <c r="H33" s="427">
        <v>16.099999999999998</v>
      </c>
      <c r="I33" s="427">
        <v>1.7000000000000028</v>
      </c>
      <c r="K33" s="526"/>
    </row>
    <row r="34" spans="1:11" ht="15.6">
      <c r="A34" s="529" t="s">
        <v>254</v>
      </c>
      <c r="B34" s="525" t="s">
        <v>21</v>
      </c>
      <c r="C34" s="427">
        <v>234.40000000000003</v>
      </c>
      <c r="D34" s="427">
        <v>2.6999999999999602</v>
      </c>
      <c r="E34" s="427">
        <v>237.1</v>
      </c>
      <c r="F34" s="428">
        <v>1</v>
      </c>
      <c r="G34" s="427">
        <v>245.37114549011594</v>
      </c>
      <c r="H34" s="427">
        <v>250.18135140009326</v>
      </c>
      <c r="I34" s="427">
        <v>-13.081351400093268</v>
      </c>
      <c r="K34" s="526"/>
    </row>
    <row r="35" spans="1:11" ht="15.6">
      <c r="A35" s="527" t="s">
        <v>293</v>
      </c>
      <c r="B35" s="531"/>
      <c r="C35" s="426">
        <v>808</v>
      </c>
      <c r="D35" s="426">
        <v>-2.6500000000000625</v>
      </c>
      <c r="E35" s="426">
        <v>805.35</v>
      </c>
      <c r="F35" s="426"/>
      <c r="G35" s="426">
        <v>755.83781215678266</v>
      </c>
      <c r="H35" s="426">
        <v>758.18135140009326</v>
      </c>
      <c r="I35" s="426">
        <v>47.168648599906746</v>
      </c>
      <c r="K35" s="526"/>
    </row>
    <row r="36" spans="1:11" ht="15.6">
      <c r="A36" s="529" t="s">
        <v>99</v>
      </c>
      <c r="B36" s="525" t="s">
        <v>172</v>
      </c>
      <c r="C36" s="427">
        <v>0</v>
      </c>
      <c r="D36" s="427">
        <v>0</v>
      </c>
      <c r="E36" s="427">
        <v>0</v>
      </c>
      <c r="F36" s="427"/>
      <c r="G36" s="427">
        <v>49.200473801502937</v>
      </c>
      <c r="H36" s="427">
        <v>42.02958609990678</v>
      </c>
      <c r="I36" s="427">
        <v>-42.02958609990678</v>
      </c>
      <c r="K36" s="526"/>
    </row>
    <row r="37" spans="1:11" ht="15.6">
      <c r="A37" s="527" t="s">
        <v>294</v>
      </c>
      <c r="B37" s="531"/>
      <c r="C37" s="426">
        <v>0</v>
      </c>
      <c r="D37" s="426">
        <v>0</v>
      </c>
      <c r="E37" s="426">
        <v>0</v>
      </c>
      <c r="F37" s="426"/>
      <c r="G37" s="426">
        <v>49.200473801502937</v>
      </c>
      <c r="H37" s="426">
        <v>42.02958609990678</v>
      </c>
      <c r="I37" s="426">
        <v>-42.02958609990678</v>
      </c>
      <c r="K37" s="526"/>
    </row>
    <row r="38" spans="1:11" ht="15.6">
      <c r="A38" s="529" t="s">
        <v>524</v>
      </c>
      <c r="B38" s="525" t="s">
        <v>556</v>
      </c>
      <c r="C38" s="427">
        <v>0</v>
      </c>
      <c r="D38" s="427">
        <v>74.5</v>
      </c>
      <c r="E38" s="427">
        <v>74.5</v>
      </c>
      <c r="F38" s="448" t="s">
        <v>566</v>
      </c>
      <c r="G38" s="427">
        <v>43.35</v>
      </c>
      <c r="H38" s="427">
        <v>47.500000000000007</v>
      </c>
      <c r="I38" s="427">
        <v>26.999999999999993</v>
      </c>
      <c r="K38" s="526"/>
    </row>
    <row r="39" spans="1:11" ht="15.6">
      <c r="A39" s="527" t="s">
        <v>555</v>
      </c>
      <c r="B39" s="531"/>
      <c r="C39" s="426">
        <v>0</v>
      </c>
      <c r="D39" s="426">
        <v>74.5</v>
      </c>
      <c r="E39" s="426">
        <v>74.5</v>
      </c>
      <c r="F39" s="426"/>
      <c r="G39" s="426">
        <v>43.35</v>
      </c>
      <c r="H39" s="426">
        <v>47.500000000000007</v>
      </c>
      <c r="I39" s="426">
        <v>26.999999999999993</v>
      </c>
      <c r="K39" s="526"/>
    </row>
    <row r="40" spans="1:11" ht="15.6">
      <c r="A40" s="532" t="s">
        <v>2</v>
      </c>
      <c r="B40" s="531"/>
      <c r="C40" s="426">
        <v>13005.499999999998</v>
      </c>
      <c r="D40" s="426">
        <v>199.99999999999804</v>
      </c>
      <c r="E40" s="426">
        <v>13205.449999999999</v>
      </c>
      <c r="F40" s="426"/>
      <c r="G40" s="426">
        <v>12406.941524425154</v>
      </c>
      <c r="H40" s="426">
        <v>12421.767187500016</v>
      </c>
      <c r="I40" s="426">
        <v>783.68281249998188</v>
      </c>
      <c r="K40" s="526"/>
    </row>
    <row r="41" spans="1:11" ht="15.6">
      <c r="A41" s="533"/>
      <c r="B41" s="533"/>
      <c r="C41" s="425"/>
      <c r="D41" s="425"/>
      <c r="E41" s="425">
        <v>0</v>
      </c>
      <c r="F41" s="467"/>
      <c r="G41" s="425"/>
      <c r="H41" s="425"/>
      <c r="I41" s="534"/>
    </row>
    <row r="42" spans="1:11" ht="36" customHeight="1">
      <c r="A42" s="535" t="s">
        <v>177</v>
      </c>
      <c r="B42" s="629" t="s">
        <v>567</v>
      </c>
      <c r="C42" s="629"/>
      <c r="D42" s="629"/>
      <c r="E42" s="629"/>
      <c r="F42" s="629"/>
      <c r="G42" s="629"/>
      <c r="H42" s="629"/>
      <c r="I42" s="629"/>
      <c r="J42" s="630"/>
    </row>
    <row r="43" spans="1:11" ht="30" customHeight="1">
      <c r="A43" s="535" t="s">
        <v>196</v>
      </c>
      <c r="B43" s="629" t="s">
        <v>568</v>
      </c>
      <c r="C43" s="629"/>
      <c r="D43" s="629"/>
      <c r="E43" s="629"/>
      <c r="F43" s="629"/>
      <c r="G43" s="629"/>
      <c r="H43" s="629"/>
      <c r="I43" s="629"/>
      <c r="J43" s="630"/>
    </row>
    <row r="44" spans="1:11" ht="15.6" customHeight="1">
      <c r="A44" s="535" t="s">
        <v>193</v>
      </c>
      <c r="B44" s="629" t="s">
        <v>588</v>
      </c>
      <c r="C44" s="629"/>
      <c r="D44" s="629"/>
      <c r="E44" s="629"/>
      <c r="F44" s="629"/>
      <c r="G44" s="629"/>
      <c r="H44" s="629"/>
      <c r="I44" s="629"/>
      <c r="J44" s="630"/>
    </row>
    <row r="45" spans="1:11" ht="15.6" customHeight="1">
      <c r="A45" s="535" t="s">
        <v>194</v>
      </c>
      <c r="B45" s="536" t="s">
        <v>610</v>
      </c>
      <c r="C45" s="536"/>
      <c r="D45" s="536"/>
      <c r="E45" s="536"/>
      <c r="F45" s="536"/>
      <c r="G45" s="536"/>
      <c r="H45" s="536"/>
      <c r="I45" s="536"/>
      <c r="J45" s="537"/>
    </row>
    <row r="46" spans="1:11" ht="15.6" customHeight="1">
      <c r="A46" s="535">
        <v>1</v>
      </c>
      <c r="B46" s="629" t="s">
        <v>554</v>
      </c>
      <c r="C46" s="629"/>
      <c r="D46" s="629"/>
      <c r="E46" s="629"/>
      <c r="F46" s="629"/>
      <c r="G46" s="629"/>
      <c r="H46" s="629"/>
      <c r="I46" s="629"/>
      <c r="J46" s="630"/>
    </row>
    <row r="47" spans="1:11" ht="15.6" customHeight="1">
      <c r="B47" s="538"/>
    </row>
    <row r="48" spans="1:11" ht="15.6" customHeight="1">
      <c r="B48" s="629" t="s">
        <v>431</v>
      </c>
      <c r="C48" s="629"/>
      <c r="D48" s="629"/>
      <c r="E48" s="629"/>
      <c r="F48" s="629"/>
      <c r="G48" s="629"/>
      <c r="H48" s="629"/>
      <c r="I48" s="629"/>
      <c r="J48" s="630"/>
    </row>
    <row r="49" spans="5:5" ht="15.6" customHeight="1">
      <c r="E49" s="539"/>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P11" sqref="P11"/>
    </sheetView>
  </sheetViews>
  <sheetFormatPr defaultColWidth="9.109375" defaultRowHeight="15.6"/>
  <cols>
    <col min="1" max="1" width="32.44140625" style="152" customWidth="1"/>
    <col min="2" max="6" width="20.5546875" style="152" hidden="1" customWidth="1"/>
    <col min="7" max="7" width="20.5546875" style="152" customWidth="1"/>
    <col min="8" max="8" width="16.33203125" style="152" hidden="1" customWidth="1"/>
    <col min="9" max="13" width="20.5546875" style="152" hidden="1" customWidth="1"/>
    <col min="14" max="14" width="21.33203125" style="152" customWidth="1"/>
    <col min="15" max="15" width="19.5546875" style="152" customWidth="1"/>
    <col min="16" max="16" width="22.6640625" style="348" customWidth="1"/>
    <col min="17" max="17" width="15" style="152" customWidth="1"/>
    <col min="18" max="16384" width="9.109375" style="152"/>
  </cols>
  <sheetData>
    <row r="1" spans="1:16" s="295" customFormat="1" ht="16.2">
      <c r="A1" s="150" t="s">
        <v>3</v>
      </c>
      <c r="B1" s="150"/>
      <c r="C1" s="150"/>
      <c r="D1" s="150"/>
      <c r="E1" s="150"/>
      <c r="F1" s="150"/>
      <c r="G1" s="150"/>
      <c r="H1" s="150"/>
      <c r="I1" s="150"/>
      <c r="J1" s="150"/>
      <c r="K1" s="150"/>
      <c r="L1" s="150"/>
      <c r="M1" s="150"/>
      <c r="N1" s="150"/>
      <c r="P1" s="347"/>
    </row>
    <row r="2" spans="1:16">
      <c r="A2" s="151" t="s">
        <v>497</v>
      </c>
      <c r="B2" s="151"/>
      <c r="C2" s="151"/>
      <c r="D2" s="151"/>
      <c r="E2" s="151"/>
      <c r="F2" s="151"/>
      <c r="G2" s="151"/>
      <c r="H2" s="151"/>
      <c r="I2" s="151"/>
      <c r="J2" s="151"/>
      <c r="K2" s="151"/>
      <c r="L2" s="151"/>
      <c r="M2" s="151"/>
      <c r="N2" s="151"/>
    </row>
    <row r="3" spans="1:16">
      <c r="A3" s="151" t="str">
        <f>'Schedule 1'!A3:L3</f>
        <v>Data Through February 28, 2022</v>
      </c>
      <c r="B3" s="151"/>
      <c r="C3" s="151"/>
      <c r="D3" s="151"/>
      <c r="E3" s="151"/>
      <c r="F3" s="151"/>
      <c r="G3" s="151"/>
      <c r="H3" s="151"/>
      <c r="I3" s="151"/>
      <c r="J3" s="151"/>
      <c r="K3" s="151"/>
      <c r="L3" s="151"/>
      <c r="M3" s="151"/>
      <c r="N3" s="151"/>
    </row>
    <row r="6" spans="1:16" ht="46.95" customHeight="1">
      <c r="A6" s="354" t="s">
        <v>238</v>
      </c>
      <c r="B6" s="354" t="s">
        <v>499</v>
      </c>
      <c r="C6" s="354" t="s">
        <v>500</v>
      </c>
      <c r="D6" s="354" t="s">
        <v>501</v>
      </c>
      <c r="E6" s="354" t="s">
        <v>502</v>
      </c>
      <c r="F6" s="354" t="s">
        <v>503</v>
      </c>
      <c r="G6" s="354" t="s">
        <v>504</v>
      </c>
      <c r="H6" s="354" t="s">
        <v>505</v>
      </c>
      <c r="I6" s="354" t="s">
        <v>506</v>
      </c>
      <c r="J6" s="354" t="s">
        <v>507</v>
      </c>
      <c r="K6" s="354" t="s">
        <v>508</v>
      </c>
      <c r="L6" s="354" t="s">
        <v>509</v>
      </c>
      <c r="M6" s="354" t="s">
        <v>510</v>
      </c>
      <c r="N6" s="354" t="s">
        <v>616</v>
      </c>
    </row>
    <row r="8" spans="1:16">
      <c r="A8" s="349" t="s">
        <v>239</v>
      </c>
      <c r="B8" s="510">
        <v>54325669.690000027</v>
      </c>
      <c r="C8" s="510">
        <v>59605246.830000006</v>
      </c>
      <c r="D8" s="510">
        <v>60262739.580000103</v>
      </c>
      <c r="E8" s="510">
        <v>59299156.990000159</v>
      </c>
      <c r="F8" s="510">
        <v>58697268.63000001</v>
      </c>
      <c r="G8" s="510">
        <v>58691190.069999896</v>
      </c>
      <c r="H8" s="380"/>
      <c r="I8" s="380"/>
      <c r="J8" s="380"/>
      <c r="K8" s="380"/>
      <c r="L8" s="380"/>
      <c r="M8" s="380"/>
      <c r="N8" s="368">
        <f>SUM(B8:M8)</f>
        <v>350881271.7900002</v>
      </c>
    </row>
    <row r="9" spans="1:16">
      <c r="A9" s="349" t="s">
        <v>240</v>
      </c>
      <c r="B9" s="510">
        <v>1223984.620000001</v>
      </c>
      <c r="C9" s="510">
        <v>1716823.110000001</v>
      </c>
      <c r="D9" s="510">
        <v>2442089.5200000005</v>
      </c>
      <c r="E9" s="510">
        <v>2132788.0500000077</v>
      </c>
      <c r="F9" s="510">
        <v>2065134.180000002</v>
      </c>
      <c r="G9" s="510">
        <v>2463701.6800000002</v>
      </c>
      <c r="H9" s="380"/>
      <c r="I9" s="380"/>
      <c r="J9" s="380"/>
      <c r="K9" s="380"/>
      <c r="L9" s="380"/>
      <c r="M9" s="380"/>
      <c r="N9" s="368">
        <f t="shared" ref="N9:N21" si="0">SUM(B9:M9)</f>
        <v>12044521.160000011</v>
      </c>
    </row>
    <row r="10" spans="1:16">
      <c r="A10" s="349" t="s">
        <v>241</v>
      </c>
      <c r="B10" s="510">
        <v>0</v>
      </c>
      <c r="C10" s="510">
        <v>2267606.0000000009</v>
      </c>
      <c r="D10" s="510">
        <v>4039710.6800000011</v>
      </c>
      <c r="E10" s="510">
        <v>4441049.5399999944</v>
      </c>
      <c r="F10" s="510">
        <v>4681668.0900000036</v>
      </c>
      <c r="G10" s="510">
        <v>5450795.2599999998</v>
      </c>
      <c r="H10" s="380"/>
      <c r="I10" s="367"/>
      <c r="J10" s="367"/>
      <c r="K10" s="367"/>
      <c r="L10" s="367"/>
      <c r="M10" s="380"/>
      <c r="N10" s="368">
        <f t="shared" si="0"/>
        <v>20880829.57</v>
      </c>
    </row>
    <row r="11" spans="1:16">
      <c r="A11" s="349" t="s">
        <v>242</v>
      </c>
      <c r="B11" s="510">
        <v>0</v>
      </c>
      <c r="C11" s="510">
        <v>0</v>
      </c>
      <c r="D11" s="510">
        <v>0</v>
      </c>
      <c r="E11" s="510">
        <v>59.199999999999989</v>
      </c>
      <c r="F11" s="510">
        <v>0</v>
      </c>
      <c r="G11" s="510">
        <v>860.63</v>
      </c>
      <c r="H11" s="380"/>
      <c r="I11" s="367"/>
      <c r="J11" s="367"/>
      <c r="K11" s="367"/>
      <c r="L11" s="367"/>
      <c r="M11" s="380"/>
      <c r="N11" s="368">
        <f t="shared" si="0"/>
        <v>919.82999999999993</v>
      </c>
    </row>
    <row r="12" spans="1:16">
      <c r="A12" s="349" t="s">
        <v>243</v>
      </c>
      <c r="B12" s="510">
        <v>454.91000000000008</v>
      </c>
      <c r="C12" s="510">
        <v>15301.400000000009</v>
      </c>
      <c r="D12" s="510">
        <v>9148.7000000000062</v>
      </c>
      <c r="E12" s="510">
        <v>12493.279999999997</v>
      </c>
      <c r="F12" s="510">
        <v>33501.130000000056</v>
      </c>
      <c r="G12" s="510">
        <v>20129.929999999982</v>
      </c>
      <c r="H12" s="380"/>
      <c r="I12" s="380"/>
      <c r="J12" s="380"/>
      <c r="K12" s="380"/>
      <c r="L12" s="380"/>
      <c r="M12" s="380"/>
      <c r="N12" s="368">
        <f t="shared" si="0"/>
        <v>91029.350000000049</v>
      </c>
    </row>
    <row r="13" spans="1:16">
      <c r="A13" s="349" t="s">
        <v>244</v>
      </c>
      <c r="B13" s="510">
        <v>762199.77000000014</v>
      </c>
      <c r="C13" s="510">
        <v>1662560.3800000006</v>
      </c>
      <c r="D13" s="510">
        <v>122611.56999999999</v>
      </c>
      <c r="E13" s="510">
        <v>791693.2799999998</v>
      </c>
      <c r="F13" s="510">
        <v>268467.63000000012</v>
      </c>
      <c r="G13" s="510">
        <v>2363129.2200000002</v>
      </c>
      <c r="H13" s="380"/>
      <c r="I13" s="380"/>
      <c r="J13" s="380"/>
      <c r="K13" s="380"/>
      <c r="L13" s="380"/>
      <c r="M13" s="380"/>
      <c r="N13" s="368">
        <f t="shared" si="0"/>
        <v>5970661.8500000015</v>
      </c>
    </row>
    <row r="14" spans="1:16">
      <c r="A14" s="349" t="s">
        <v>245</v>
      </c>
      <c r="B14" s="510">
        <v>111226.93000000001</v>
      </c>
      <c r="C14" s="510">
        <v>3426944.0699999947</v>
      </c>
      <c r="D14" s="510">
        <v>4025822.549999998</v>
      </c>
      <c r="E14" s="510">
        <v>4774110.4499999918</v>
      </c>
      <c r="F14" s="510">
        <v>4707207.4699999942</v>
      </c>
      <c r="G14" s="510">
        <v>3847711.9299999909</v>
      </c>
      <c r="H14" s="380"/>
      <c r="I14" s="380"/>
      <c r="J14" s="380"/>
      <c r="K14" s="380"/>
      <c r="L14" s="380"/>
      <c r="M14" s="380"/>
      <c r="N14" s="368">
        <f t="shared" si="0"/>
        <v>20893023.399999972</v>
      </c>
    </row>
    <row r="15" spans="1:16">
      <c r="A15" s="349" t="s">
        <v>246</v>
      </c>
      <c r="B15" s="510">
        <v>1124.9999999999995</v>
      </c>
      <c r="C15" s="510">
        <v>4179.4600000000009</v>
      </c>
      <c r="D15" s="510">
        <v>25365.340000000007</v>
      </c>
      <c r="E15" s="510">
        <v>2166.0000000000018</v>
      </c>
      <c r="F15" s="510">
        <v>1425.43</v>
      </c>
      <c r="G15" s="510">
        <v>20547.789999999986</v>
      </c>
      <c r="H15" s="380"/>
      <c r="I15" s="380"/>
      <c r="J15" s="380"/>
      <c r="K15" s="380"/>
      <c r="L15" s="380"/>
      <c r="M15" s="380"/>
      <c r="N15" s="368">
        <f t="shared" si="0"/>
        <v>54809.02</v>
      </c>
    </row>
    <row r="16" spans="1:16">
      <c r="A16" s="349" t="s">
        <v>362</v>
      </c>
      <c r="B16" s="510">
        <v>0</v>
      </c>
      <c r="C16" s="510">
        <v>497776.43</v>
      </c>
      <c r="D16" s="510">
        <v>490184.86999999994</v>
      </c>
      <c r="E16" s="510">
        <v>606</v>
      </c>
      <c r="F16" s="510">
        <v>1012509.0600000003</v>
      </c>
      <c r="G16" s="510">
        <v>0</v>
      </c>
      <c r="H16" s="380"/>
      <c r="I16" s="380"/>
      <c r="J16" s="380"/>
      <c r="K16" s="380"/>
      <c r="L16" s="380"/>
      <c r="M16" s="380"/>
      <c r="N16" s="368">
        <f t="shared" si="0"/>
        <v>2001076.3600000003</v>
      </c>
    </row>
    <row r="17" spans="1:15">
      <c r="A17" s="349" t="s">
        <v>247</v>
      </c>
      <c r="B17" s="510">
        <v>3182747.1599999974</v>
      </c>
      <c r="C17" s="510">
        <v>5491026.5999999912</v>
      </c>
      <c r="D17" s="510">
        <v>4127157.4599999902</v>
      </c>
      <c r="E17" s="510">
        <v>4766946.8100000042</v>
      </c>
      <c r="F17" s="510">
        <v>7370399.090000012</v>
      </c>
      <c r="G17" s="510">
        <v>4135772.699999983</v>
      </c>
      <c r="H17" s="380"/>
      <c r="I17" s="380"/>
      <c r="J17" s="424"/>
      <c r="K17" s="380"/>
      <c r="L17" s="380"/>
      <c r="M17" s="380"/>
      <c r="N17" s="368">
        <f t="shared" si="0"/>
        <v>29074049.819999978</v>
      </c>
    </row>
    <row r="18" spans="1:15">
      <c r="A18" s="349" t="s">
        <v>248</v>
      </c>
      <c r="B18" s="510">
        <v>35239497.36999999</v>
      </c>
      <c r="C18" s="510">
        <v>78925582.759999931</v>
      </c>
      <c r="D18" s="510">
        <v>90305932.639999971</v>
      </c>
      <c r="E18" s="510">
        <v>97028005.829999909</v>
      </c>
      <c r="F18" s="510">
        <v>93754539.399999827</v>
      </c>
      <c r="G18" s="510">
        <v>88834020.780000001</v>
      </c>
      <c r="H18" s="380"/>
      <c r="I18" s="380"/>
      <c r="J18" s="380"/>
      <c r="K18" s="380"/>
      <c r="L18" s="380"/>
      <c r="M18" s="380"/>
      <c r="N18" s="368">
        <f t="shared" si="0"/>
        <v>484087578.77999961</v>
      </c>
    </row>
    <row r="19" spans="1:15">
      <c r="A19" s="349" t="s">
        <v>249</v>
      </c>
      <c r="B19" s="510">
        <v>3784.89</v>
      </c>
      <c r="C19" s="510">
        <v>37429.739999999991</v>
      </c>
      <c r="D19" s="510">
        <v>28744.640000000007</v>
      </c>
      <c r="E19" s="510">
        <v>53585.229999999967</v>
      </c>
      <c r="F19" s="510">
        <v>46478.549999999988</v>
      </c>
      <c r="G19" s="510">
        <v>23216.479999999992</v>
      </c>
      <c r="H19" s="380"/>
      <c r="I19" s="380"/>
      <c r="J19" s="380"/>
      <c r="K19" s="380"/>
      <c r="L19" s="380"/>
      <c r="M19" s="380"/>
      <c r="N19" s="368">
        <f t="shared" si="0"/>
        <v>193239.52999999991</v>
      </c>
    </row>
    <row r="20" spans="1:15">
      <c r="A20" s="349" t="s">
        <v>250</v>
      </c>
      <c r="B20" s="510">
        <v>0</v>
      </c>
      <c r="C20" s="510">
        <v>729296.04</v>
      </c>
      <c r="D20" s="510">
        <v>2310981.38</v>
      </c>
      <c r="E20" s="510">
        <v>2672025.6199999996</v>
      </c>
      <c r="F20" s="510">
        <v>3360772.43</v>
      </c>
      <c r="G20" s="510">
        <v>2811565.1900000004</v>
      </c>
      <c r="H20" s="380"/>
      <c r="I20" s="367"/>
      <c r="J20" s="367"/>
      <c r="K20" s="367"/>
      <c r="L20" s="367"/>
      <c r="M20" s="380"/>
      <c r="N20" s="368">
        <f t="shared" si="0"/>
        <v>11884640.66</v>
      </c>
    </row>
    <row r="21" spans="1:15">
      <c r="A21" s="349" t="s">
        <v>251</v>
      </c>
      <c r="B21" s="367"/>
      <c r="C21" s="367"/>
      <c r="D21" s="367"/>
      <c r="E21" s="367"/>
      <c r="F21" s="367"/>
      <c r="G21" s="367">
        <v>0</v>
      </c>
      <c r="H21" s="367"/>
      <c r="I21" s="367">
        <v>0</v>
      </c>
      <c r="J21" s="367">
        <v>0</v>
      </c>
      <c r="K21" s="367"/>
      <c r="L21" s="367"/>
      <c r="M21" s="367"/>
      <c r="N21" s="368">
        <f t="shared" si="0"/>
        <v>0</v>
      </c>
    </row>
    <row r="22" spans="1:15">
      <c r="B22" s="155"/>
      <c r="C22" s="155"/>
      <c r="D22" s="155"/>
      <c r="E22" s="155"/>
      <c r="F22" s="155"/>
      <c r="G22" s="155"/>
      <c r="H22" s="155"/>
      <c r="I22" s="155">
        <v>-4.220055416226387E-8</v>
      </c>
      <c r="J22" s="155">
        <v>-1.3336539268493652E-6</v>
      </c>
      <c r="K22" s="155"/>
      <c r="L22" s="155"/>
      <c r="M22" s="155"/>
      <c r="N22" s="366"/>
    </row>
    <row r="23" spans="1:15" ht="16.2" thickBot="1">
      <c r="A23" s="350" t="s">
        <v>92</v>
      </c>
      <c r="B23" s="365">
        <f>SUM(B8:B22)</f>
        <v>94850690.340000018</v>
      </c>
      <c r="C23" s="365">
        <f t="shared" ref="C23:I23" si="1">SUM(C8:C22)</f>
        <v>154379772.81999993</v>
      </c>
      <c r="D23" s="365">
        <f t="shared" si="1"/>
        <v>168190488.93000007</v>
      </c>
      <c r="E23" s="365">
        <f t="shared" si="1"/>
        <v>175974686.28000006</v>
      </c>
      <c r="F23" s="365">
        <f t="shared" si="1"/>
        <v>175999371.08999988</v>
      </c>
      <c r="G23" s="365">
        <f t="shared" si="1"/>
        <v>168662641.65999988</v>
      </c>
      <c r="H23" s="365">
        <f t="shared" si="1"/>
        <v>0</v>
      </c>
      <c r="I23" s="365">
        <f t="shared" si="1"/>
        <v>-4.220055416226387E-8</v>
      </c>
      <c r="J23" s="365">
        <f>SUM(J8:J22)</f>
        <v>-1.3336539268493652E-6</v>
      </c>
      <c r="K23" s="365"/>
      <c r="L23" s="365"/>
      <c r="M23" s="365"/>
      <c r="N23" s="659">
        <f>SUM(N8:N22)</f>
        <v>938057651.11999977</v>
      </c>
      <c r="O23" s="373"/>
    </row>
    <row r="24" spans="1:15" ht="16.2" hidden="1" thickTop="1">
      <c r="N24" s="512">
        <f>'Schedule 1'!J57</f>
        <v>938057651.11998522</v>
      </c>
    </row>
    <row r="25" spans="1:15" hidden="1">
      <c r="N25" s="512">
        <f>N24-N23</f>
        <v>-1.4543533325195313E-5</v>
      </c>
    </row>
    <row r="26" spans="1:15" ht="16.2" thickTop="1">
      <c r="N26" s="37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62" zoomScaleNormal="62" workbookViewId="0">
      <pane ySplit="6" topLeftCell="A7" activePane="bottomLeft" state="frozen"/>
      <selection activeCell="AM66" sqref="AM66"/>
      <selection pane="bottomLeft" activeCell="A6" sqref="A6"/>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customWidth="1"/>
    <col min="10" max="10" width="5.5546875" style="1" bestFit="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511</v>
      </c>
      <c r="B2" s="151"/>
      <c r="C2" s="151"/>
      <c r="D2" s="151"/>
      <c r="E2" s="151"/>
      <c r="F2" s="151"/>
      <c r="G2" s="151"/>
      <c r="H2" s="151"/>
      <c r="I2" s="151"/>
    </row>
    <row r="3" spans="1:12">
      <c r="A3" s="151" t="str">
        <f>'Schedule 1'!A3:L3</f>
        <v>Data Through February 28, 2022</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55"/>
      <c r="D5" s="158" t="s">
        <v>146</v>
      </c>
      <c r="E5" s="158" t="s">
        <v>147</v>
      </c>
      <c r="F5" s="159" t="s">
        <v>203</v>
      </c>
      <c r="G5" s="159" t="s">
        <v>50</v>
      </c>
      <c r="H5" s="355"/>
      <c r="I5" s="159"/>
      <c r="J5" s="152"/>
    </row>
    <row r="6" spans="1:12" s="15" customFormat="1">
      <c r="A6" s="160" t="s">
        <v>48</v>
      </c>
      <c r="B6" s="161" t="s">
        <v>51</v>
      </c>
      <c r="C6" s="356"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1137698341</v>
      </c>
      <c r="D8" s="170">
        <f>E8+F8</f>
        <v>21059636</v>
      </c>
      <c r="E8" s="170">
        <v>71485005</v>
      </c>
      <c r="F8" s="170">
        <v>-50425369</v>
      </c>
      <c r="G8" s="170">
        <v>1158757977</v>
      </c>
      <c r="H8" s="170">
        <v>1222881463</v>
      </c>
      <c r="I8" s="170">
        <f>G8-H8</f>
        <v>-64123486</v>
      </c>
      <c r="J8" s="171">
        <f t="shared" ref="J8:J44" si="0">G8-C8-D8</f>
        <v>0</v>
      </c>
      <c r="L8" s="383"/>
    </row>
    <row r="9" spans="1:12" s="15" customFormat="1">
      <c r="A9" s="168" t="s">
        <v>54</v>
      </c>
      <c r="B9" s="169" t="s">
        <v>55</v>
      </c>
      <c r="C9" s="170">
        <v>13216869</v>
      </c>
      <c r="D9" s="170">
        <f>E9+F9</f>
        <v>1099749</v>
      </c>
      <c r="E9" s="170">
        <v>1099749</v>
      </c>
      <c r="F9" s="170">
        <v>0</v>
      </c>
      <c r="G9" s="170">
        <v>14316618</v>
      </c>
      <c r="H9" s="170">
        <v>14316618</v>
      </c>
      <c r="I9" s="170">
        <f>G9-H9</f>
        <v>0</v>
      </c>
      <c r="J9" s="171">
        <f t="shared" si="0"/>
        <v>0</v>
      </c>
      <c r="L9" s="383"/>
    </row>
    <row r="10" spans="1:12" s="15" customFormat="1">
      <c r="A10" s="168" t="s">
        <v>56</v>
      </c>
      <c r="B10" s="169" t="s">
        <v>57</v>
      </c>
      <c r="C10" s="170">
        <v>0</v>
      </c>
      <c r="D10" s="170">
        <f>E10+F10</f>
        <v>0</v>
      </c>
      <c r="E10" s="170">
        <v>0</v>
      </c>
      <c r="F10" s="170">
        <v>0</v>
      </c>
      <c r="G10" s="170">
        <v>0</v>
      </c>
      <c r="H10" s="170">
        <v>0</v>
      </c>
      <c r="I10" s="170">
        <f>G10-H10</f>
        <v>0</v>
      </c>
      <c r="J10" s="171">
        <f t="shared" si="0"/>
        <v>0</v>
      </c>
      <c r="L10" s="383"/>
    </row>
    <row r="11" spans="1:12" s="15" customFormat="1">
      <c r="A11" s="168" t="s">
        <v>117</v>
      </c>
      <c r="B11" s="172" t="s">
        <v>124</v>
      </c>
      <c r="C11" s="170">
        <v>176155057</v>
      </c>
      <c r="D11" s="170">
        <f>E11+F11</f>
        <v>0</v>
      </c>
      <c r="E11" s="170">
        <v>0</v>
      </c>
      <c r="F11" s="170">
        <v>0</v>
      </c>
      <c r="G11" s="170">
        <v>176155057</v>
      </c>
      <c r="H11" s="170">
        <v>127970975</v>
      </c>
      <c r="I11" s="170">
        <f>G11-H11</f>
        <v>48184082</v>
      </c>
      <c r="J11" s="171">
        <f t="shared" si="0"/>
        <v>0</v>
      </c>
      <c r="L11" s="383"/>
    </row>
    <row r="12" spans="1:12" s="15" customFormat="1" ht="11.25" customHeight="1">
      <c r="A12" s="168"/>
      <c r="B12" s="172"/>
      <c r="C12" s="170"/>
      <c r="D12" s="170"/>
      <c r="E12" s="170"/>
      <c r="F12" s="170"/>
      <c r="G12" s="170"/>
      <c r="H12" s="170"/>
      <c r="I12" s="170"/>
      <c r="J12" s="171">
        <f t="shared" si="0"/>
        <v>0</v>
      </c>
      <c r="L12" s="383"/>
    </row>
    <row r="13" spans="1:12" s="15" customFormat="1" ht="16.2">
      <c r="A13" s="173" t="s">
        <v>58</v>
      </c>
      <c r="B13" s="174"/>
      <c r="C13" s="175">
        <f t="shared" ref="C13:H13" si="1">SUM(C8:C11)</f>
        <v>1327070267</v>
      </c>
      <c r="D13" s="175">
        <f>SUM(D8:D12)</f>
        <v>22159385</v>
      </c>
      <c r="E13" s="175">
        <f>SUM(E8:E12)</f>
        <v>72584754</v>
      </c>
      <c r="F13" s="175">
        <f>SUM(F8:F11)</f>
        <v>-50425369</v>
      </c>
      <c r="G13" s="175">
        <f t="shared" si="1"/>
        <v>1349229652</v>
      </c>
      <c r="H13" s="175">
        <f t="shared" si="1"/>
        <v>1365169056</v>
      </c>
      <c r="I13" s="175">
        <f>SUM(I8:I11)</f>
        <v>-15939404</v>
      </c>
      <c r="J13" s="171">
        <f t="shared" si="0"/>
        <v>0</v>
      </c>
      <c r="L13" s="383"/>
    </row>
    <row r="14" spans="1:12" s="15" customFormat="1" ht="12" customHeight="1">
      <c r="A14" s="176"/>
      <c r="B14" s="177"/>
      <c r="C14" s="178"/>
      <c r="D14" s="178"/>
      <c r="E14" s="178"/>
      <c r="F14" s="178"/>
      <c r="G14" s="178"/>
      <c r="H14" s="178"/>
      <c r="I14" s="178"/>
      <c r="J14" s="171">
        <f t="shared" si="0"/>
        <v>0</v>
      </c>
      <c r="L14" s="383"/>
    </row>
    <row r="15" spans="1:12" s="15" customFormat="1">
      <c r="A15" s="179" t="s">
        <v>59</v>
      </c>
      <c r="B15" s="180" t="s">
        <v>60</v>
      </c>
      <c r="C15" s="170">
        <v>4285000</v>
      </c>
      <c r="D15" s="170">
        <f>E15+F15</f>
        <v>0</v>
      </c>
      <c r="E15" s="170">
        <v>0</v>
      </c>
      <c r="F15" s="170">
        <v>0</v>
      </c>
      <c r="G15" s="170">
        <v>4285000</v>
      </c>
      <c r="H15" s="170">
        <v>4285000</v>
      </c>
      <c r="I15" s="170">
        <f>G15-H15</f>
        <v>0</v>
      </c>
      <c r="J15" s="171">
        <f t="shared" si="0"/>
        <v>0</v>
      </c>
      <c r="L15" s="383"/>
    </row>
    <row r="16" spans="1:12" s="15" customFormat="1" ht="12.75" customHeight="1">
      <c r="A16" s="179"/>
      <c r="B16" s="180"/>
      <c r="C16" s="170"/>
      <c r="D16" s="170"/>
      <c r="E16" s="170"/>
      <c r="F16" s="170"/>
      <c r="G16" s="170"/>
      <c r="H16" s="170"/>
      <c r="I16" s="170"/>
      <c r="J16" s="171">
        <f t="shared" si="0"/>
        <v>0</v>
      </c>
      <c r="L16" s="383"/>
    </row>
    <row r="17" spans="1:12" s="15" customFormat="1" ht="16.2">
      <c r="A17" s="173" t="s">
        <v>61</v>
      </c>
      <c r="B17" s="174"/>
      <c r="C17" s="175">
        <f t="shared" ref="C17:I17" si="2">SUM(C15:C15)</f>
        <v>4285000</v>
      </c>
      <c r="D17" s="175">
        <f>SUM(D15:D16)</f>
        <v>0</v>
      </c>
      <c r="E17" s="175">
        <f>SUM(E15:E16)</f>
        <v>0</v>
      </c>
      <c r="F17" s="175">
        <f t="shared" si="2"/>
        <v>0</v>
      </c>
      <c r="G17" s="175">
        <f>SUM(G15:G15)</f>
        <v>4285000</v>
      </c>
      <c r="H17" s="175">
        <f t="shared" si="2"/>
        <v>4285000</v>
      </c>
      <c r="I17" s="175">
        <f t="shared" si="2"/>
        <v>0</v>
      </c>
      <c r="J17" s="171">
        <f t="shared" si="0"/>
        <v>0</v>
      </c>
      <c r="L17" s="383"/>
    </row>
    <row r="18" spans="1:12" s="18" customFormat="1" ht="16.2">
      <c r="A18" s="176"/>
      <c r="B18" s="177"/>
      <c r="C18" s="178"/>
      <c r="D18" s="178"/>
      <c r="E18" s="170"/>
      <c r="F18" s="178"/>
      <c r="G18" s="178"/>
      <c r="H18" s="178"/>
      <c r="I18" s="178"/>
      <c r="J18" s="171">
        <f t="shared" si="0"/>
        <v>0</v>
      </c>
      <c r="K18" s="15"/>
      <c r="L18" s="383"/>
    </row>
    <row r="19" spans="1:12" s="15" customFormat="1" ht="16.2">
      <c r="A19" s="173" t="s">
        <v>37</v>
      </c>
      <c r="B19" s="181"/>
      <c r="C19" s="175">
        <f t="shared" ref="C19:I19" si="3">SUM(C17,C13)</f>
        <v>1331355267</v>
      </c>
      <c r="D19" s="175">
        <f t="shared" si="3"/>
        <v>22159385</v>
      </c>
      <c r="E19" s="175">
        <f t="shared" si="3"/>
        <v>72584754</v>
      </c>
      <c r="F19" s="175">
        <f t="shared" si="3"/>
        <v>-50425369</v>
      </c>
      <c r="G19" s="175">
        <f t="shared" si="3"/>
        <v>1353514652</v>
      </c>
      <c r="H19" s="175">
        <f t="shared" si="3"/>
        <v>1369454056</v>
      </c>
      <c r="I19" s="175">
        <f t="shared" si="3"/>
        <v>-15939404</v>
      </c>
      <c r="J19" s="171">
        <f t="shared" si="0"/>
        <v>0</v>
      </c>
      <c r="L19" s="383"/>
    </row>
    <row r="20" spans="1:12" s="15" customFormat="1" ht="16.2">
      <c r="A20" s="176"/>
      <c r="B20" s="182"/>
      <c r="C20" s="178"/>
      <c r="D20" s="178"/>
      <c r="E20" s="178"/>
      <c r="F20" s="178"/>
      <c r="G20" s="178"/>
      <c r="H20" s="178"/>
      <c r="I20" s="178"/>
      <c r="J20" s="171">
        <f t="shared" si="0"/>
        <v>0</v>
      </c>
      <c r="L20" s="383"/>
    </row>
    <row r="21" spans="1:12" s="15" customFormat="1">
      <c r="A21" s="183" t="s">
        <v>62</v>
      </c>
      <c r="B21" s="184" t="s">
        <v>119</v>
      </c>
      <c r="C21" s="170">
        <v>29975718</v>
      </c>
      <c r="D21" s="170">
        <f t="shared" ref="D21:D53" si="4">E21+F21</f>
        <v>0</v>
      </c>
      <c r="E21" s="170">
        <v>0</v>
      </c>
      <c r="F21" s="170">
        <v>0</v>
      </c>
      <c r="G21" s="170">
        <v>29975718</v>
      </c>
      <c r="H21" s="170">
        <v>29975718</v>
      </c>
      <c r="I21" s="170">
        <f t="shared" ref="I21:I53" si="5">G21-H21</f>
        <v>0</v>
      </c>
      <c r="J21" s="171">
        <f t="shared" si="0"/>
        <v>0</v>
      </c>
      <c r="L21" s="383"/>
    </row>
    <row r="22" spans="1:12" s="15" customFormat="1">
      <c r="A22" s="183" t="s">
        <v>120</v>
      </c>
      <c r="B22" s="185" t="s">
        <v>118</v>
      </c>
      <c r="C22" s="170">
        <v>1494209</v>
      </c>
      <c r="D22" s="170">
        <f t="shared" si="4"/>
        <v>0</v>
      </c>
      <c r="E22" s="170">
        <v>0</v>
      </c>
      <c r="F22" s="170">
        <v>0</v>
      </c>
      <c r="G22" s="170">
        <v>1494209</v>
      </c>
      <c r="H22" s="170">
        <v>1494209</v>
      </c>
      <c r="I22" s="170">
        <f t="shared" si="5"/>
        <v>0</v>
      </c>
      <c r="J22" s="171">
        <f t="shared" si="0"/>
        <v>0</v>
      </c>
      <c r="L22" s="383"/>
    </row>
    <row r="23" spans="1:12" s="15" customFormat="1">
      <c r="A23" s="183" t="s">
        <v>368</v>
      </c>
      <c r="B23" s="185" t="s">
        <v>367</v>
      </c>
      <c r="C23" s="170"/>
      <c r="D23" s="170">
        <f t="shared" si="4"/>
        <v>1771892</v>
      </c>
      <c r="E23" s="170">
        <v>1771892</v>
      </c>
      <c r="F23" s="170">
        <v>0</v>
      </c>
      <c r="G23" s="170">
        <v>1771892</v>
      </c>
      <c r="H23" s="170">
        <v>1771892</v>
      </c>
      <c r="I23" s="170">
        <f t="shared" si="5"/>
        <v>0</v>
      </c>
      <c r="J23" s="171">
        <f t="shared" si="0"/>
        <v>0</v>
      </c>
      <c r="L23" s="383"/>
    </row>
    <row r="24" spans="1:12" s="15" customFormat="1">
      <c r="A24" s="183" t="s">
        <v>392</v>
      </c>
      <c r="B24" s="185" t="s">
        <v>393</v>
      </c>
      <c r="C24" s="170"/>
      <c r="D24" s="170">
        <f t="shared" si="4"/>
        <v>296212</v>
      </c>
      <c r="E24" s="170">
        <v>296212</v>
      </c>
      <c r="F24" s="170">
        <v>0</v>
      </c>
      <c r="G24" s="170">
        <v>296212</v>
      </c>
      <c r="H24" s="170">
        <v>296212</v>
      </c>
      <c r="I24" s="170">
        <f>G24-H24</f>
        <v>0</v>
      </c>
      <c r="J24" s="171">
        <f t="shared" si="0"/>
        <v>0</v>
      </c>
      <c r="L24" s="383"/>
    </row>
    <row r="25" spans="1:12" s="15" customFormat="1">
      <c r="A25" s="183" t="s">
        <v>464</v>
      </c>
      <c r="B25" s="185" t="s">
        <v>463</v>
      </c>
      <c r="C25" s="170">
        <v>22501214</v>
      </c>
      <c r="D25" s="170">
        <f t="shared" si="4"/>
        <v>1853884</v>
      </c>
      <c r="E25" s="170">
        <v>353884</v>
      </c>
      <c r="F25" s="170">
        <v>1500000</v>
      </c>
      <c r="G25" s="170">
        <v>24355098</v>
      </c>
      <c r="H25" s="170">
        <v>24355098</v>
      </c>
      <c r="I25" s="170">
        <f>G25-H25</f>
        <v>0</v>
      </c>
      <c r="J25" s="171">
        <f t="shared" si="0"/>
        <v>0</v>
      </c>
      <c r="L25" s="383"/>
    </row>
    <row r="26" spans="1:12" s="15" customFormat="1">
      <c r="A26" s="186" t="s">
        <v>63</v>
      </c>
      <c r="B26" s="187" t="s">
        <v>438</v>
      </c>
      <c r="C26" s="170">
        <v>355593997</v>
      </c>
      <c r="D26" s="170">
        <f t="shared" si="4"/>
        <v>0</v>
      </c>
      <c r="E26" s="170">
        <v>0</v>
      </c>
      <c r="F26" s="170">
        <v>0</v>
      </c>
      <c r="G26" s="170">
        <v>355593997</v>
      </c>
      <c r="H26" s="170">
        <v>355593997</v>
      </c>
      <c r="I26" s="170">
        <f>G26-H26</f>
        <v>0</v>
      </c>
      <c r="J26" s="171">
        <f t="shared" si="0"/>
        <v>0</v>
      </c>
      <c r="L26" s="383"/>
    </row>
    <row r="27" spans="1:12" s="15" customFormat="1">
      <c r="A27" s="186" t="s">
        <v>632</v>
      </c>
      <c r="B27" s="187" t="s">
        <v>631</v>
      </c>
      <c r="C27" s="170"/>
      <c r="D27" s="170">
        <f t="shared" si="4"/>
        <v>13425000</v>
      </c>
      <c r="E27" s="170">
        <v>0</v>
      </c>
      <c r="F27" s="170">
        <v>13425000</v>
      </c>
      <c r="G27" s="170">
        <v>13425000</v>
      </c>
      <c r="H27" s="170">
        <v>13425000</v>
      </c>
      <c r="I27" s="170">
        <f>G27-H27</f>
        <v>0</v>
      </c>
      <c r="J27" s="171"/>
      <c r="L27" s="383"/>
    </row>
    <row r="28" spans="1:12" s="15" customFormat="1">
      <c r="A28" s="186" t="s">
        <v>65</v>
      </c>
      <c r="B28" s="187" t="s">
        <v>439</v>
      </c>
      <c r="C28" s="170"/>
      <c r="D28" s="170">
        <f t="shared" si="4"/>
        <v>0</v>
      </c>
      <c r="E28" s="170">
        <v>0</v>
      </c>
      <c r="F28" s="170">
        <v>0</v>
      </c>
      <c r="G28" s="170">
        <v>0</v>
      </c>
      <c r="H28" s="170">
        <v>0</v>
      </c>
      <c r="I28" s="170">
        <f t="shared" si="5"/>
        <v>0</v>
      </c>
      <c r="J28" s="171">
        <f t="shared" si="0"/>
        <v>0</v>
      </c>
      <c r="L28" s="383"/>
    </row>
    <row r="29" spans="1:12" s="15" customFormat="1">
      <c r="A29" s="186" t="s">
        <v>66</v>
      </c>
      <c r="B29" s="187" t="s">
        <v>440</v>
      </c>
      <c r="C29" s="170">
        <v>45395946</v>
      </c>
      <c r="D29" s="170">
        <f t="shared" si="4"/>
        <v>0</v>
      </c>
      <c r="E29" s="170">
        <v>0</v>
      </c>
      <c r="F29" s="170">
        <v>0</v>
      </c>
      <c r="G29" s="170">
        <v>45395946</v>
      </c>
      <c r="H29" s="170">
        <v>45395946</v>
      </c>
      <c r="I29" s="170">
        <f t="shared" si="5"/>
        <v>0</v>
      </c>
      <c r="J29" s="171">
        <f t="shared" si="0"/>
        <v>0</v>
      </c>
      <c r="L29" s="383"/>
    </row>
    <row r="30" spans="1:12" s="15" customFormat="1">
      <c r="A30" s="188" t="s">
        <v>67</v>
      </c>
      <c r="B30" s="187" t="s">
        <v>441</v>
      </c>
      <c r="C30" s="170">
        <v>6577972</v>
      </c>
      <c r="D30" s="170">
        <f t="shared" si="4"/>
        <v>248368</v>
      </c>
      <c r="E30" s="170">
        <v>248368</v>
      </c>
      <c r="F30" s="170">
        <v>0</v>
      </c>
      <c r="G30" s="170">
        <v>6826340</v>
      </c>
      <c r="H30" s="170">
        <v>6826340</v>
      </c>
      <c r="I30" s="170">
        <f t="shared" si="5"/>
        <v>0</v>
      </c>
      <c r="J30" s="171">
        <f t="shared" si="0"/>
        <v>0</v>
      </c>
      <c r="L30" s="383"/>
    </row>
    <row r="31" spans="1:12" s="15" customFormat="1">
      <c r="A31" s="188" t="s">
        <v>68</v>
      </c>
      <c r="B31" s="187" t="s">
        <v>442</v>
      </c>
      <c r="C31" s="170">
        <v>3043144</v>
      </c>
      <c r="D31" s="170">
        <f t="shared" si="4"/>
        <v>7178</v>
      </c>
      <c r="E31" s="170">
        <v>7178</v>
      </c>
      <c r="F31" s="170">
        <v>0</v>
      </c>
      <c r="G31" s="170">
        <v>3050322</v>
      </c>
      <c r="H31" s="170">
        <v>3050322</v>
      </c>
      <c r="I31" s="170">
        <f t="shared" si="5"/>
        <v>0</v>
      </c>
      <c r="J31" s="171">
        <f t="shared" si="0"/>
        <v>0</v>
      </c>
      <c r="L31" s="383"/>
    </row>
    <row r="32" spans="1:12" s="15" customFormat="1">
      <c r="A32" s="188" t="s">
        <v>69</v>
      </c>
      <c r="B32" s="189" t="s">
        <v>443</v>
      </c>
      <c r="C32" s="170">
        <v>1065000</v>
      </c>
      <c r="D32" s="170">
        <f t="shared" si="4"/>
        <v>0</v>
      </c>
      <c r="E32" s="170">
        <v>0</v>
      </c>
      <c r="F32" s="170">
        <v>0</v>
      </c>
      <c r="G32" s="170">
        <v>1065000</v>
      </c>
      <c r="H32" s="170">
        <v>1065000</v>
      </c>
      <c r="I32" s="170">
        <f t="shared" si="5"/>
        <v>0</v>
      </c>
      <c r="J32" s="171">
        <f t="shared" si="0"/>
        <v>0</v>
      </c>
      <c r="L32" s="383"/>
    </row>
    <row r="33" spans="1:12" s="15" customFormat="1">
      <c r="A33" s="188" t="s">
        <v>122</v>
      </c>
      <c r="B33" s="189" t="s">
        <v>444</v>
      </c>
      <c r="C33" s="170"/>
      <c r="D33" s="170">
        <f t="shared" si="4"/>
        <v>9684</v>
      </c>
      <c r="E33" s="170">
        <v>14724</v>
      </c>
      <c r="F33" s="170">
        <v>-5040</v>
      </c>
      <c r="G33" s="170">
        <v>9684</v>
      </c>
      <c r="H33" s="170">
        <v>9684</v>
      </c>
      <c r="I33" s="170">
        <f t="shared" si="5"/>
        <v>0</v>
      </c>
      <c r="J33" s="171">
        <f t="shared" si="0"/>
        <v>0</v>
      </c>
      <c r="L33" s="383"/>
    </row>
    <row r="34" spans="1:12" s="15" customFormat="1">
      <c r="A34" s="188" t="s">
        <v>71</v>
      </c>
      <c r="B34" s="189" t="s">
        <v>445</v>
      </c>
      <c r="C34" s="170">
        <v>24037616</v>
      </c>
      <c r="D34" s="170">
        <f t="shared" si="4"/>
        <v>0</v>
      </c>
      <c r="E34" s="170">
        <v>0</v>
      </c>
      <c r="F34" s="170">
        <v>0</v>
      </c>
      <c r="G34" s="170">
        <v>24037616</v>
      </c>
      <c r="H34" s="170">
        <v>24037616</v>
      </c>
      <c r="I34" s="170">
        <f t="shared" si="5"/>
        <v>0</v>
      </c>
      <c r="J34" s="171">
        <f t="shared" si="0"/>
        <v>0</v>
      </c>
      <c r="L34" s="383"/>
    </row>
    <row r="35" spans="1:12" s="15" customFormat="1">
      <c r="A35" s="188" t="s">
        <v>455</v>
      </c>
      <c r="B35" s="189" t="s">
        <v>454</v>
      </c>
      <c r="C35" s="170"/>
      <c r="D35" s="170">
        <f t="shared" ref="D35" si="6">E35+F35</f>
        <v>0</v>
      </c>
      <c r="E35" s="170">
        <v>0</v>
      </c>
      <c r="F35" s="170">
        <v>0</v>
      </c>
      <c r="G35" s="170">
        <v>0</v>
      </c>
      <c r="H35" s="170">
        <v>0</v>
      </c>
      <c r="I35" s="170">
        <f t="shared" ref="I35" si="7">G35-H35</f>
        <v>0</v>
      </c>
      <c r="J35" s="171">
        <f t="shared" si="0"/>
        <v>0</v>
      </c>
      <c r="L35" s="383"/>
    </row>
    <row r="36" spans="1:12" s="15" customFormat="1">
      <c r="A36" s="188" t="s">
        <v>115</v>
      </c>
      <c r="B36" s="187" t="s">
        <v>113</v>
      </c>
      <c r="C36" s="170">
        <v>843757</v>
      </c>
      <c r="D36" s="170">
        <f t="shared" si="4"/>
        <v>-150962</v>
      </c>
      <c r="E36" s="170">
        <v>-150962</v>
      </c>
      <c r="F36" s="170">
        <v>0</v>
      </c>
      <c r="G36" s="170">
        <v>692795</v>
      </c>
      <c r="H36" s="170">
        <v>690691</v>
      </c>
      <c r="I36" s="170">
        <f t="shared" si="5"/>
        <v>2104</v>
      </c>
      <c r="J36" s="171">
        <f t="shared" si="0"/>
        <v>0</v>
      </c>
      <c r="L36" s="383"/>
    </row>
    <row r="37" spans="1:12" s="15" customFormat="1">
      <c r="A37" s="188" t="s">
        <v>116</v>
      </c>
      <c r="B37" s="187" t="s">
        <v>114</v>
      </c>
      <c r="C37" s="170">
        <v>12377372</v>
      </c>
      <c r="D37" s="170">
        <f t="shared" si="4"/>
        <v>605727</v>
      </c>
      <c r="E37" s="170">
        <v>502974</v>
      </c>
      <c r="F37" s="170">
        <v>102753</v>
      </c>
      <c r="G37" s="170">
        <v>12983099</v>
      </c>
      <c r="H37" s="170">
        <v>13677636</v>
      </c>
      <c r="I37" s="170">
        <f t="shared" si="5"/>
        <v>-694537</v>
      </c>
      <c r="J37" s="171">
        <f t="shared" si="0"/>
        <v>0</v>
      </c>
      <c r="L37" s="383"/>
    </row>
    <row r="38" spans="1:12" s="15" customFormat="1">
      <c r="A38" s="188" t="s">
        <v>121</v>
      </c>
      <c r="B38" s="187" t="s">
        <v>446</v>
      </c>
      <c r="C38" s="170"/>
      <c r="D38" s="170">
        <f t="shared" si="4"/>
        <v>0</v>
      </c>
      <c r="E38" s="170">
        <v>0</v>
      </c>
      <c r="F38" s="170">
        <v>0</v>
      </c>
      <c r="G38" s="170">
        <v>0</v>
      </c>
      <c r="H38" s="170">
        <v>0</v>
      </c>
      <c r="I38" s="170">
        <f t="shared" si="5"/>
        <v>0</v>
      </c>
      <c r="J38" s="171">
        <f t="shared" si="0"/>
        <v>0</v>
      </c>
      <c r="L38" s="383"/>
    </row>
    <row r="39" spans="1:12" s="15" customFormat="1">
      <c r="A39" s="188" t="s">
        <v>73</v>
      </c>
      <c r="B39" s="187" t="s">
        <v>74</v>
      </c>
      <c r="C39" s="170">
        <v>91937700</v>
      </c>
      <c r="D39" s="170">
        <f t="shared" si="4"/>
        <v>-7403877</v>
      </c>
      <c r="E39" s="513">
        <v>-7507305</v>
      </c>
      <c r="F39" s="170">
        <v>103428</v>
      </c>
      <c r="G39" s="170">
        <v>84533823</v>
      </c>
      <c r="H39" s="170">
        <v>81731444</v>
      </c>
      <c r="I39" s="170">
        <f t="shared" si="5"/>
        <v>2802379</v>
      </c>
      <c r="J39" s="171">
        <f t="shared" si="0"/>
        <v>0</v>
      </c>
      <c r="L39" s="383"/>
    </row>
    <row r="40" spans="1:12" s="15" customFormat="1">
      <c r="A40" s="188" t="s">
        <v>75</v>
      </c>
      <c r="B40" s="189" t="s">
        <v>76</v>
      </c>
      <c r="C40" s="170">
        <v>106405206</v>
      </c>
      <c r="D40" s="170">
        <f t="shared" si="4"/>
        <v>3596347</v>
      </c>
      <c r="E40" s="513">
        <v>2908451</v>
      </c>
      <c r="F40" s="170">
        <v>687896</v>
      </c>
      <c r="G40" s="170">
        <v>110001553</v>
      </c>
      <c r="H40" s="170">
        <v>81757166</v>
      </c>
      <c r="I40" s="170">
        <f t="shared" si="5"/>
        <v>28244387</v>
      </c>
      <c r="J40" s="171">
        <f t="shared" si="0"/>
        <v>0</v>
      </c>
      <c r="L40" s="383"/>
    </row>
    <row r="41" spans="1:12" s="15" customFormat="1">
      <c r="A41" s="188" t="s">
        <v>131</v>
      </c>
      <c r="B41" s="189" t="s">
        <v>132</v>
      </c>
      <c r="C41" s="170">
        <v>7736130</v>
      </c>
      <c r="D41" s="170">
        <f t="shared" si="4"/>
        <v>957831</v>
      </c>
      <c r="E41" s="170">
        <v>957831</v>
      </c>
      <c r="F41" s="170">
        <v>0</v>
      </c>
      <c r="G41" s="170">
        <v>8693961</v>
      </c>
      <c r="H41" s="170">
        <v>8693961</v>
      </c>
      <c r="I41" s="170">
        <f t="shared" si="5"/>
        <v>0</v>
      </c>
      <c r="J41" s="171">
        <f>G41-C41-D41</f>
        <v>0</v>
      </c>
      <c r="L41" s="383"/>
    </row>
    <row r="42" spans="1:12" s="15" customFormat="1">
      <c r="A42" s="188" t="s">
        <v>77</v>
      </c>
      <c r="B42" s="405" t="s">
        <v>78</v>
      </c>
      <c r="C42" s="170">
        <v>11892033</v>
      </c>
      <c r="D42" s="170">
        <f t="shared" si="4"/>
        <v>-168626</v>
      </c>
      <c r="E42" s="170">
        <v>-168626</v>
      </c>
      <c r="F42" s="170">
        <v>0</v>
      </c>
      <c r="G42" s="170">
        <v>11723407</v>
      </c>
      <c r="H42" s="170">
        <v>10975311</v>
      </c>
      <c r="I42" s="170">
        <f t="shared" si="5"/>
        <v>748096</v>
      </c>
      <c r="J42" s="171">
        <f t="shared" si="0"/>
        <v>0</v>
      </c>
      <c r="L42" s="383"/>
    </row>
    <row r="43" spans="1:12" s="15" customFormat="1">
      <c r="A43" s="183" t="s">
        <v>79</v>
      </c>
      <c r="B43" s="185" t="s">
        <v>80</v>
      </c>
      <c r="C43" s="170">
        <v>155385168</v>
      </c>
      <c r="D43" s="170">
        <f t="shared" si="4"/>
        <v>7753914</v>
      </c>
      <c r="E43" s="170">
        <v>6458373</v>
      </c>
      <c r="F43" s="170">
        <v>1295541</v>
      </c>
      <c r="G43" s="170">
        <v>163139082</v>
      </c>
      <c r="H43" s="170">
        <v>171638269</v>
      </c>
      <c r="I43" s="170">
        <f t="shared" si="5"/>
        <v>-8499187</v>
      </c>
      <c r="J43" s="171">
        <f t="shared" si="0"/>
        <v>0</v>
      </c>
      <c r="L43" s="383"/>
    </row>
    <row r="44" spans="1:12" s="15" customFormat="1">
      <c r="A44" s="183" t="s">
        <v>133</v>
      </c>
      <c r="B44" s="184" t="s">
        <v>134</v>
      </c>
      <c r="C44" s="170">
        <v>36913</v>
      </c>
      <c r="D44" s="170">
        <f t="shared" si="4"/>
        <v>1764</v>
      </c>
      <c r="E44" s="170">
        <v>1764</v>
      </c>
      <c r="F44" s="170">
        <v>0</v>
      </c>
      <c r="G44" s="170">
        <v>38677</v>
      </c>
      <c r="H44" s="170">
        <v>38677</v>
      </c>
      <c r="I44" s="170">
        <f t="shared" si="5"/>
        <v>0</v>
      </c>
      <c r="J44" s="171">
        <f t="shared" si="0"/>
        <v>0</v>
      </c>
      <c r="L44" s="383"/>
    </row>
    <row r="45" spans="1:12" s="15" customFormat="1">
      <c r="A45" s="183" t="s">
        <v>81</v>
      </c>
      <c r="B45" s="185" t="s">
        <v>447</v>
      </c>
      <c r="C45" s="170">
        <v>28983072</v>
      </c>
      <c r="D45" s="170">
        <f t="shared" si="4"/>
        <v>0</v>
      </c>
      <c r="E45" s="170">
        <v>0</v>
      </c>
      <c r="F45" s="170">
        <v>0</v>
      </c>
      <c r="G45" s="170">
        <v>28983072</v>
      </c>
      <c r="H45" s="170">
        <v>28983072</v>
      </c>
      <c r="I45" s="170">
        <f t="shared" si="5"/>
        <v>0</v>
      </c>
      <c r="J45" s="171">
        <f t="shared" ref="J45:J69" si="8">G45-C45-D45</f>
        <v>0</v>
      </c>
      <c r="L45" s="383"/>
    </row>
    <row r="46" spans="1:12" s="15" customFormat="1">
      <c r="A46" s="183" t="s">
        <v>82</v>
      </c>
      <c r="B46" s="190" t="s">
        <v>448</v>
      </c>
      <c r="C46" s="170">
        <v>3927971</v>
      </c>
      <c r="D46" s="170">
        <f t="shared" si="4"/>
        <v>2013557</v>
      </c>
      <c r="E46" s="170">
        <v>2013557</v>
      </c>
      <c r="F46" s="170">
        <v>0</v>
      </c>
      <c r="G46" s="170">
        <v>5941528</v>
      </c>
      <c r="H46" s="170">
        <v>5941528</v>
      </c>
      <c r="I46" s="170">
        <f t="shared" si="5"/>
        <v>0</v>
      </c>
      <c r="J46" s="171">
        <f t="shared" si="8"/>
        <v>0</v>
      </c>
      <c r="L46" s="383"/>
    </row>
    <row r="47" spans="1:12" s="15" customFormat="1">
      <c r="A47" s="183" t="s">
        <v>612</v>
      </c>
      <c r="B47" s="190" t="s">
        <v>611</v>
      </c>
      <c r="C47" s="170"/>
      <c r="D47" s="170">
        <f t="shared" si="4"/>
        <v>611818</v>
      </c>
      <c r="E47" s="170">
        <v>321818</v>
      </c>
      <c r="F47" s="170">
        <v>290000</v>
      </c>
      <c r="G47" s="170">
        <v>611818</v>
      </c>
      <c r="H47" s="170">
        <v>611818</v>
      </c>
      <c r="I47" s="170">
        <f t="shared" ref="I47" si="9">G47-H47</f>
        <v>0</v>
      </c>
      <c r="J47" s="171">
        <f t="shared" ref="J47" si="10">G47-C47-D47</f>
        <v>0</v>
      </c>
      <c r="L47" s="383"/>
    </row>
    <row r="48" spans="1:12" s="15" customFormat="1">
      <c r="A48" s="183" t="s">
        <v>83</v>
      </c>
      <c r="B48" s="184" t="s">
        <v>449</v>
      </c>
      <c r="C48" s="170">
        <v>9003789</v>
      </c>
      <c r="D48" s="170">
        <f t="shared" si="4"/>
        <v>-1240992</v>
      </c>
      <c r="E48" s="170">
        <v>-1240992</v>
      </c>
      <c r="F48" s="170">
        <v>0</v>
      </c>
      <c r="G48" s="170">
        <v>7762797</v>
      </c>
      <c r="H48" s="170">
        <v>7762797</v>
      </c>
      <c r="I48" s="170">
        <f t="shared" si="5"/>
        <v>0</v>
      </c>
      <c r="J48" s="171">
        <f t="shared" si="8"/>
        <v>0</v>
      </c>
      <c r="L48" s="383"/>
    </row>
    <row r="49" spans="1:12" s="15" customFormat="1">
      <c r="A49" s="183" t="s">
        <v>140</v>
      </c>
      <c r="B49" s="184" t="s">
        <v>450</v>
      </c>
      <c r="C49" s="170"/>
      <c r="D49" s="170">
        <f t="shared" si="4"/>
        <v>0</v>
      </c>
      <c r="E49" s="170">
        <v>0</v>
      </c>
      <c r="F49" s="170">
        <v>0</v>
      </c>
      <c r="G49" s="170">
        <v>0</v>
      </c>
      <c r="H49" s="170">
        <v>0</v>
      </c>
      <c r="I49" s="170">
        <f t="shared" si="5"/>
        <v>0</v>
      </c>
      <c r="J49" s="171">
        <f t="shared" si="8"/>
        <v>0</v>
      </c>
      <c r="L49" s="383"/>
    </row>
    <row r="50" spans="1:12" s="15" customFormat="1">
      <c r="A50" s="183" t="s">
        <v>142</v>
      </c>
      <c r="B50" s="184" t="s">
        <v>451</v>
      </c>
      <c r="C50" s="170"/>
      <c r="D50" s="170">
        <f t="shared" si="4"/>
        <v>0</v>
      </c>
      <c r="E50" s="170">
        <v>0</v>
      </c>
      <c r="F50" s="170">
        <v>0</v>
      </c>
      <c r="G50" s="170">
        <v>0</v>
      </c>
      <c r="H50" s="170">
        <v>0</v>
      </c>
      <c r="I50" s="170">
        <f t="shared" si="5"/>
        <v>0</v>
      </c>
      <c r="J50" s="171">
        <f t="shared" si="8"/>
        <v>0</v>
      </c>
      <c r="L50" s="383"/>
    </row>
    <row r="51" spans="1:12" s="15" customFormat="1">
      <c r="A51" s="183" t="s">
        <v>112</v>
      </c>
      <c r="B51" s="189" t="s">
        <v>125</v>
      </c>
      <c r="C51" s="170">
        <v>13338938</v>
      </c>
      <c r="D51" s="170">
        <f t="shared" si="4"/>
        <v>1095720</v>
      </c>
      <c r="E51" s="170">
        <v>1095720</v>
      </c>
      <c r="F51" s="170">
        <v>0</v>
      </c>
      <c r="G51" s="170">
        <v>14434658</v>
      </c>
      <c r="H51" s="170">
        <v>14434658</v>
      </c>
      <c r="I51" s="170">
        <f t="shared" si="5"/>
        <v>0</v>
      </c>
      <c r="J51" s="171">
        <f t="shared" si="8"/>
        <v>0</v>
      </c>
      <c r="L51" s="383"/>
    </row>
    <row r="52" spans="1:12" s="15" customFormat="1">
      <c r="A52" s="183" t="s">
        <v>179</v>
      </c>
      <c r="B52" s="189" t="s">
        <v>452</v>
      </c>
      <c r="C52" s="170">
        <v>18374384</v>
      </c>
      <c r="D52" s="170">
        <f t="shared" si="4"/>
        <v>1694640</v>
      </c>
      <c r="E52" s="170">
        <v>1694640</v>
      </c>
      <c r="F52" s="170">
        <v>0</v>
      </c>
      <c r="G52" s="170">
        <v>20069024</v>
      </c>
      <c r="H52" s="170">
        <v>20069024</v>
      </c>
      <c r="I52" s="170">
        <f t="shared" si="5"/>
        <v>0</v>
      </c>
      <c r="J52" s="171">
        <f t="shared" si="8"/>
        <v>0</v>
      </c>
      <c r="L52" s="383"/>
    </row>
    <row r="53" spans="1:12" s="15" customFormat="1">
      <c r="A53" s="183" t="s">
        <v>371</v>
      </c>
      <c r="B53" s="189" t="s">
        <v>453</v>
      </c>
      <c r="C53" s="170"/>
      <c r="D53" s="170">
        <f t="shared" si="4"/>
        <v>0</v>
      </c>
      <c r="E53" s="170">
        <v>0</v>
      </c>
      <c r="F53" s="170">
        <v>0</v>
      </c>
      <c r="G53" s="170">
        <v>0</v>
      </c>
      <c r="H53" s="170">
        <v>0</v>
      </c>
      <c r="I53" s="170">
        <f t="shared" si="5"/>
        <v>0</v>
      </c>
      <c r="J53" s="171">
        <f>G53-C53-D53</f>
        <v>0</v>
      </c>
      <c r="L53" s="383"/>
    </row>
    <row r="54" spans="1:12" s="15" customFormat="1">
      <c r="A54" s="183" t="s">
        <v>473</v>
      </c>
      <c r="B54" s="189" t="s">
        <v>472</v>
      </c>
      <c r="C54" s="170"/>
      <c r="D54" s="170">
        <f t="shared" ref="D54:D57" si="11">E54+F54</f>
        <v>5369214</v>
      </c>
      <c r="E54" s="170">
        <v>5369214</v>
      </c>
      <c r="F54" s="170">
        <v>0</v>
      </c>
      <c r="G54" s="170">
        <v>5369214</v>
      </c>
      <c r="H54" s="170">
        <v>5369214</v>
      </c>
      <c r="I54" s="170">
        <f t="shared" ref="I54:I57" si="12">G54-H54</f>
        <v>0</v>
      </c>
      <c r="J54" s="171">
        <f>G54-C54-D54</f>
        <v>0</v>
      </c>
      <c r="L54" s="383"/>
    </row>
    <row r="55" spans="1:12" s="15" customFormat="1">
      <c r="A55" s="183" t="s">
        <v>584</v>
      </c>
      <c r="B55" s="189" t="s">
        <v>583</v>
      </c>
      <c r="C55" s="170"/>
      <c r="D55" s="170">
        <f t="shared" ref="D55" si="13">E55+F55</f>
        <v>5884261</v>
      </c>
      <c r="E55" s="170">
        <v>5884261</v>
      </c>
      <c r="F55" s="170">
        <v>0</v>
      </c>
      <c r="G55" s="170">
        <v>5884261</v>
      </c>
      <c r="H55" s="170">
        <v>5884261</v>
      </c>
      <c r="I55" s="170">
        <f t="shared" ref="I55" si="14">G55-H55</f>
        <v>0</v>
      </c>
      <c r="J55" s="171"/>
      <c r="L55" s="383"/>
    </row>
    <row r="56" spans="1:12" s="15" customFormat="1">
      <c r="A56" s="183" t="s">
        <v>474</v>
      </c>
      <c r="B56" s="189" t="s">
        <v>471</v>
      </c>
      <c r="C56" s="170"/>
      <c r="D56" s="170">
        <f t="shared" si="11"/>
        <v>2680546</v>
      </c>
      <c r="E56" s="170">
        <v>2680546</v>
      </c>
      <c r="F56" s="170">
        <v>0</v>
      </c>
      <c r="G56" s="170">
        <v>2680546</v>
      </c>
      <c r="H56" s="170">
        <v>2680546</v>
      </c>
      <c r="I56" s="170">
        <f t="shared" si="12"/>
        <v>0</v>
      </c>
      <c r="J56" s="171">
        <f t="shared" si="8"/>
        <v>0</v>
      </c>
      <c r="L56" s="383"/>
    </row>
    <row r="57" spans="1:12" s="15" customFormat="1">
      <c r="A57" s="183" t="s">
        <v>475</v>
      </c>
      <c r="B57" s="189" t="s">
        <v>470</v>
      </c>
      <c r="C57" s="170"/>
      <c r="D57" s="170">
        <f t="shared" si="11"/>
        <v>13072153</v>
      </c>
      <c r="E57" s="170">
        <v>13072153</v>
      </c>
      <c r="F57" s="170">
        <v>0</v>
      </c>
      <c r="G57" s="170">
        <v>13072153</v>
      </c>
      <c r="H57" s="170">
        <v>13072153</v>
      </c>
      <c r="I57" s="170">
        <f t="shared" si="12"/>
        <v>0</v>
      </c>
      <c r="J57" s="171">
        <f t="shared" si="8"/>
        <v>0</v>
      </c>
      <c r="L57" s="383"/>
    </row>
    <row r="58" spans="1:12" s="15" customFormat="1">
      <c r="A58" s="183" t="s">
        <v>484</v>
      </c>
      <c r="B58" s="189" t="s">
        <v>483</v>
      </c>
      <c r="C58" s="170"/>
      <c r="D58" s="170">
        <f t="shared" ref="D58:D60" si="15">E58+F58</f>
        <v>10734010</v>
      </c>
      <c r="E58" s="170">
        <v>10734010</v>
      </c>
      <c r="F58" s="170">
        <v>0</v>
      </c>
      <c r="G58" s="170">
        <v>10734010</v>
      </c>
      <c r="H58" s="170">
        <v>10734010</v>
      </c>
      <c r="I58" s="170">
        <f t="shared" ref="I58:I59" si="16">G58-H58</f>
        <v>0</v>
      </c>
      <c r="J58" s="171">
        <f t="shared" si="8"/>
        <v>0</v>
      </c>
      <c r="L58" s="383"/>
    </row>
    <row r="59" spans="1:12" s="15" customFormat="1">
      <c r="A59" s="183" t="s">
        <v>492</v>
      </c>
      <c r="B59" s="189" t="s">
        <v>491</v>
      </c>
      <c r="C59" s="170"/>
      <c r="D59" s="170">
        <f t="shared" si="15"/>
        <v>50425369</v>
      </c>
      <c r="E59" s="170">
        <v>0</v>
      </c>
      <c r="F59" s="170">
        <v>50425369</v>
      </c>
      <c r="G59" s="170">
        <v>50425369</v>
      </c>
      <c r="H59" s="170">
        <v>50425369</v>
      </c>
      <c r="I59" s="170">
        <f t="shared" si="16"/>
        <v>0</v>
      </c>
      <c r="J59" s="171">
        <f t="shared" si="8"/>
        <v>0</v>
      </c>
      <c r="L59" s="383"/>
    </row>
    <row r="60" spans="1:12" s="15" customFormat="1">
      <c r="A60" s="183" t="s">
        <v>548</v>
      </c>
      <c r="B60" s="189" t="s">
        <v>547</v>
      </c>
      <c r="C60" s="170"/>
      <c r="D60" s="170">
        <f t="shared" si="15"/>
        <v>2619173</v>
      </c>
      <c r="E60" s="170">
        <v>2619173</v>
      </c>
      <c r="F60" s="170">
        <v>0</v>
      </c>
      <c r="G60" s="170">
        <v>2619173</v>
      </c>
      <c r="H60" s="170">
        <v>2619173</v>
      </c>
      <c r="I60" s="170">
        <f t="shared" ref="I60" si="17">G60-H60</f>
        <v>0</v>
      </c>
      <c r="J60" s="171"/>
      <c r="L60" s="383"/>
    </row>
    <row r="61" spans="1:12" s="15" customFormat="1" ht="16.2">
      <c r="A61" s="173" t="s">
        <v>85</v>
      </c>
      <c r="B61" s="181"/>
      <c r="C61" s="191">
        <f t="shared" ref="C61:I61" si="18">SUM(C21:C60)</f>
        <v>949927249</v>
      </c>
      <c r="D61" s="191">
        <f t="shared" si="18"/>
        <v>117763805</v>
      </c>
      <c r="E61" s="191">
        <f t="shared" si="18"/>
        <v>49938858</v>
      </c>
      <c r="F61" s="191">
        <f t="shared" si="18"/>
        <v>67824947</v>
      </c>
      <c r="G61" s="191">
        <f t="shared" si="18"/>
        <v>1067691054</v>
      </c>
      <c r="H61" s="191">
        <f t="shared" si="18"/>
        <v>1045087812</v>
      </c>
      <c r="I61" s="191">
        <f t="shared" si="18"/>
        <v>22603242</v>
      </c>
      <c r="J61" s="171">
        <f t="shared" si="8"/>
        <v>0</v>
      </c>
      <c r="L61" s="383"/>
    </row>
    <row r="62" spans="1:12" s="15" customFormat="1" ht="16.2">
      <c r="A62" s="176"/>
      <c r="B62" s="182"/>
      <c r="C62" s="178"/>
      <c r="D62" s="178"/>
      <c r="E62" s="178"/>
      <c r="F62" s="178"/>
      <c r="G62" s="178"/>
      <c r="H62" s="178"/>
      <c r="I62" s="178"/>
      <c r="J62" s="171">
        <f t="shared" si="8"/>
        <v>0</v>
      </c>
    </row>
    <row r="63" spans="1:12" s="15" customFormat="1">
      <c r="A63" s="192" t="s">
        <v>86</v>
      </c>
      <c r="B63" s="184" t="s">
        <v>87</v>
      </c>
      <c r="C63" s="170">
        <v>6575898</v>
      </c>
      <c r="D63" s="170">
        <f>E63+F63</f>
        <v>1990022</v>
      </c>
      <c r="E63" s="170">
        <v>1990022</v>
      </c>
      <c r="F63" s="170">
        <v>0</v>
      </c>
      <c r="G63" s="170">
        <v>8565920</v>
      </c>
      <c r="H63" s="170">
        <v>8565920</v>
      </c>
      <c r="I63" s="170">
        <f>G63-H63</f>
        <v>0</v>
      </c>
      <c r="J63" s="171">
        <f t="shared" si="8"/>
        <v>0</v>
      </c>
    </row>
    <row r="64" spans="1:12" s="15" customFormat="1">
      <c r="A64" s="192" t="s">
        <v>88</v>
      </c>
      <c r="B64" s="184" t="s">
        <v>89</v>
      </c>
      <c r="C64" s="170">
        <v>20221</v>
      </c>
      <c r="D64" s="170">
        <f>E64+F64</f>
        <v>99966</v>
      </c>
      <c r="E64" s="170">
        <v>99966</v>
      </c>
      <c r="F64" s="170">
        <v>0</v>
      </c>
      <c r="G64" s="170">
        <v>120187</v>
      </c>
      <c r="H64" s="170">
        <v>120187</v>
      </c>
      <c r="I64" s="170">
        <f>G64-H64</f>
        <v>0</v>
      </c>
      <c r="J64" s="171">
        <f>G64-C64-D64</f>
        <v>0</v>
      </c>
    </row>
    <row r="65" spans="1:10" s="15" customFormat="1">
      <c r="A65" s="192" t="s">
        <v>90</v>
      </c>
      <c r="B65" s="185" t="s">
        <v>91</v>
      </c>
      <c r="C65" s="170">
        <v>772839</v>
      </c>
      <c r="D65" s="170">
        <f>E65+F65</f>
        <v>0</v>
      </c>
      <c r="E65" s="170">
        <v>0</v>
      </c>
      <c r="F65" s="170">
        <v>0</v>
      </c>
      <c r="G65" s="170">
        <v>772839</v>
      </c>
      <c r="H65" s="170">
        <v>772839</v>
      </c>
      <c r="I65" s="170">
        <f>G65-H65</f>
        <v>0</v>
      </c>
      <c r="J65" s="171">
        <f t="shared" si="8"/>
        <v>0</v>
      </c>
    </row>
    <row r="66" spans="1:10" s="15" customFormat="1">
      <c r="A66" s="192" t="s">
        <v>156</v>
      </c>
      <c r="B66" s="184" t="s">
        <v>155</v>
      </c>
      <c r="C66" s="170">
        <v>8792</v>
      </c>
      <c r="D66" s="170">
        <f>E66+F66</f>
        <v>0</v>
      </c>
      <c r="E66" s="170">
        <v>0</v>
      </c>
      <c r="F66" s="170">
        <v>0</v>
      </c>
      <c r="G66" s="170">
        <v>8792</v>
      </c>
      <c r="H66" s="170">
        <v>8792</v>
      </c>
      <c r="I66" s="170">
        <f>G66-H66</f>
        <v>0</v>
      </c>
      <c r="J66" s="171">
        <f t="shared" si="8"/>
        <v>0</v>
      </c>
    </row>
    <row r="67" spans="1:10" s="15" customFormat="1">
      <c r="A67" s="173" t="s">
        <v>186</v>
      </c>
      <c r="B67" s="193"/>
      <c r="C67" s="175">
        <f t="shared" ref="C67:I67" si="19">SUM(C63:C66)</f>
        <v>7377750</v>
      </c>
      <c r="D67" s="175">
        <f t="shared" si="19"/>
        <v>2089988</v>
      </c>
      <c r="E67" s="175">
        <f t="shared" si="19"/>
        <v>2089988</v>
      </c>
      <c r="F67" s="175">
        <f>SUM(F63:F66)</f>
        <v>0</v>
      </c>
      <c r="G67" s="175">
        <f>SUM(G63:G66)</f>
        <v>9467738</v>
      </c>
      <c r="H67" s="175">
        <f t="shared" si="19"/>
        <v>9467738</v>
      </c>
      <c r="I67" s="175">
        <f t="shared" si="19"/>
        <v>0</v>
      </c>
      <c r="J67" s="171">
        <f t="shared" si="8"/>
        <v>0</v>
      </c>
    </row>
    <row r="68" spans="1:10" s="15" customFormat="1">
      <c r="A68" s="194"/>
      <c r="B68" s="195"/>
      <c r="C68" s="178"/>
      <c r="D68" s="178"/>
      <c r="E68" s="178"/>
      <c r="F68" s="178"/>
      <c r="G68" s="178"/>
      <c r="H68" s="178"/>
      <c r="I68" s="178"/>
      <c r="J68" s="171">
        <f t="shared" si="8"/>
        <v>0</v>
      </c>
    </row>
    <row r="69" spans="1:10" s="15" customFormat="1" ht="16.2" thickBot="1">
      <c r="A69" s="196" t="s">
        <v>92</v>
      </c>
      <c r="B69" s="197"/>
      <c r="C69" s="198">
        <f t="shared" ref="C69:I69" si="20">SUM(C67,C61,C19)</f>
        <v>2288660266</v>
      </c>
      <c r="D69" s="198">
        <f t="shared" si="20"/>
        <v>142013178</v>
      </c>
      <c r="E69" s="198">
        <f t="shared" si="20"/>
        <v>124613600</v>
      </c>
      <c r="F69" s="199">
        <f t="shared" si="20"/>
        <v>17399578</v>
      </c>
      <c r="G69" s="199">
        <f t="shared" si="20"/>
        <v>2430673444</v>
      </c>
      <c r="H69" s="199">
        <f t="shared" si="20"/>
        <v>2424009606</v>
      </c>
      <c r="I69" s="199">
        <f t="shared" si="20"/>
        <v>6663838</v>
      </c>
      <c r="J69" s="171">
        <f t="shared" si="8"/>
        <v>0</v>
      </c>
    </row>
    <row r="70" spans="1:10" s="15" customFormat="1" ht="14.4" hidden="1" thickTop="1">
      <c r="B70" s="39"/>
      <c r="C70" s="40"/>
      <c r="D70" s="16"/>
      <c r="E70" s="16"/>
      <c r="F70" s="16"/>
      <c r="G70" s="16"/>
      <c r="H70" s="16"/>
      <c r="I70" s="16">
        <f>I69-'Schedule 1'!L57</f>
        <v>0</v>
      </c>
    </row>
    <row r="71" spans="1:10" s="15" customFormat="1" ht="14.4" thickTop="1">
      <c r="B71" s="40"/>
      <c r="C71" s="40"/>
      <c r="D71" s="40"/>
      <c r="E71" s="16"/>
      <c r="F71" s="16"/>
      <c r="G71" s="16"/>
      <c r="H71" s="16"/>
      <c r="I71" s="16"/>
    </row>
    <row r="72" spans="1:10" s="15" customFormat="1" ht="13.8">
      <c r="B72" s="40"/>
      <c r="C72" s="40"/>
      <c r="D72" s="40"/>
      <c r="E72" s="16"/>
      <c r="F72" s="40"/>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row r="102" spans="2:9" s="15" customFormat="1" ht="13.8">
      <c r="B102" s="41"/>
      <c r="C102" s="40"/>
      <c r="D102" s="16"/>
      <c r="E102" s="16"/>
      <c r="F102" s="16"/>
      <c r="G102" s="16"/>
      <c r="H102" s="16"/>
      <c r="I102" s="16"/>
    </row>
  </sheetData>
  <phoneticPr fontId="11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46"/>
  <sheetViews>
    <sheetView zoomScale="65" zoomScaleNormal="65" workbookViewId="0">
      <pane ySplit="6" topLeftCell="A7" activePane="bottomLeft" state="frozen"/>
      <selection activeCell="AM66" sqref="AM66"/>
      <selection pane="bottomLeft" activeCell="F50" sqref="F50"/>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5.109375" style="6" customWidth="1"/>
    <col min="12" max="12" width="16" style="6" bestFit="1" customWidth="1"/>
    <col min="13" max="13" width="16" style="6" customWidth="1"/>
    <col min="14" max="14" width="17.33203125" style="6" bestFit="1" customWidth="1"/>
    <col min="15" max="15" width="13.88671875" style="6" customWidth="1"/>
    <col min="16" max="16" width="18.109375" style="6" bestFit="1" customWidth="1"/>
    <col min="17" max="17" width="16" style="5" bestFit="1" customWidth="1"/>
    <col min="18" max="18" width="12.109375" style="5" bestFit="1" customWidth="1"/>
    <col min="19" max="16384" width="9.109375" style="5"/>
  </cols>
  <sheetData>
    <row r="1" spans="1:18" s="4" customFormat="1" ht="16.2">
      <c r="A1" s="200" t="s">
        <v>3</v>
      </c>
      <c r="B1" s="200"/>
      <c r="C1" s="200"/>
      <c r="D1" s="200"/>
      <c r="E1" s="200"/>
      <c r="F1" s="200"/>
      <c r="G1" s="200"/>
      <c r="H1" s="200"/>
      <c r="I1" s="200"/>
      <c r="J1" s="200"/>
      <c r="K1" s="200"/>
      <c r="L1" s="200"/>
      <c r="M1" s="200"/>
      <c r="N1" s="200"/>
      <c r="O1" s="200"/>
      <c r="P1" s="200"/>
    </row>
    <row r="2" spans="1:18" s="1" customFormat="1" ht="15.6">
      <c r="A2" s="201" t="s">
        <v>512</v>
      </c>
      <c r="B2" s="201"/>
      <c r="C2" s="201"/>
      <c r="D2" s="201"/>
      <c r="E2" s="201"/>
      <c r="F2" s="201"/>
      <c r="G2" s="201"/>
      <c r="H2" s="201"/>
      <c r="I2" s="201"/>
      <c r="J2" s="201"/>
      <c r="K2" s="201"/>
      <c r="L2" s="201"/>
      <c r="M2" s="201"/>
      <c r="N2" s="201"/>
      <c r="O2" s="201"/>
      <c r="P2" s="201"/>
    </row>
    <row r="3" spans="1:18" s="1" customFormat="1" ht="15.6">
      <c r="A3" s="151" t="str">
        <f>'Schedule 1'!A3:L3</f>
        <v>Data Through February 28, 2022</v>
      </c>
      <c r="B3" s="151"/>
      <c r="C3" s="151"/>
      <c r="D3" s="151"/>
      <c r="E3" s="151"/>
      <c r="F3" s="151"/>
      <c r="G3" s="151"/>
      <c r="H3" s="151"/>
      <c r="I3" s="151"/>
      <c r="J3" s="151"/>
      <c r="K3" s="151"/>
      <c r="L3" s="151"/>
      <c r="M3" s="151"/>
      <c r="N3" s="151"/>
      <c r="O3" s="151"/>
      <c r="P3" s="151"/>
    </row>
    <row r="4" spans="1:18" ht="15.6">
      <c r="A4" s="151"/>
      <c r="B4" s="151"/>
      <c r="C4" s="151"/>
      <c r="D4" s="151"/>
      <c r="E4" s="151"/>
      <c r="F4" s="151"/>
      <c r="G4" s="151"/>
      <c r="H4" s="151"/>
      <c r="I4" s="151"/>
      <c r="J4" s="151"/>
      <c r="K4" s="151"/>
      <c r="L4" s="151"/>
      <c r="M4" s="151"/>
      <c r="N4" s="151"/>
      <c r="O4" s="151"/>
      <c r="P4" s="151"/>
    </row>
    <row r="5" spans="1:18" s="15" customFormat="1" ht="15.6">
      <c r="A5" s="636"/>
      <c r="B5" s="637"/>
      <c r="C5" s="203"/>
      <c r="D5" s="203"/>
      <c r="E5" s="638" t="s">
        <v>6</v>
      </c>
      <c r="F5" s="639"/>
      <c r="G5" s="639"/>
      <c r="H5" s="639"/>
      <c r="I5" s="639"/>
      <c r="J5" s="639"/>
      <c r="K5" s="639"/>
      <c r="L5" s="639"/>
      <c r="M5" s="639"/>
      <c r="N5" s="639"/>
      <c r="O5" s="204"/>
      <c r="P5" s="205"/>
    </row>
    <row r="6" spans="1:18" s="15" customFormat="1" ht="32.4">
      <c r="A6" s="206"/>
      <c r="B6" s="207"/>
      <c r="C6" s="208" t="s">
        <v>4</v>
      </c>
      <c r="D6" s="208" t="s">
        <v>5</v>
      </c>
      <c r="E6" s="209" t="s">
        <v>226</v>
      </c>
      <c r="F6" s="209" t="s">
        <v>353</v>
      </c>
      <c r="G6" s="210" t="s">
        <v>183</v>
      </c>
      <c r="H6" s="209" t="s">
        <v>227</v>
      </c>
      <c r="I6" s="209" t="s">
        <v>228</v>
      </c>
      <c r="J6" s="209" t="s">
        <v>295</v>
      </c>
      <c r="K6" s="511" t="s">
        <v>491</v>
      </c>
      <c r="L6" s="210" t="s">
        <v>184</v>
      </c>
      <c r="M6" s="462" t="s">
        <v>571</v>
      </c>
      <c r="N6" s="211" t="s">
        <v>137</v>
      </c>
      <c r="O6" s="212" t="s">
        <v>138</v>
      </c>
      <c r="P6" s="213" t="s">
        <v>139</v>
      </c>
    </row>
    <row r="7" spans="1:18" s="15" customFormat="1" ht="9" customHeight="1">
      <c r="A7" s="214"/>
      <c r="B7" s="214"/>
      <c r="C7" s="215"/>
      <c r="D7" s="215"/>
      <c r="E7" s="216"/>
      <c r="F7" s="216"/>
      <c r="G7" s="217"/>
      <c r="H7" s="216"/>
      <c r="I7" s="216"/>
      <c r="J7" s="216"/>
      <c r="K7" s="216"/>
      <c r="L7" s="217"/>
      <c r="M7" s="217"/>
      <c r="N7" s="217"/>
      <c r="O7" s="217"/>
      <c r="P7" s="217"/>
    </row>
    <row r="8" spans="1:18" s="69" customFormat="1" ht="18" customHeight="1">
      <c r="A8" s="126" t="s">
        <v>22</v>
      </c>
      <c r="B8" s="126" t="s">
        <v>7</v>
      </c>
      <c r="C8" s="218">
        <v>16961639</v>
      </c>
      <c r="D8" s="218">
        <v>0</v>
      </c>
      <c r="E8" s="218">
        <v>10336506</v>
      </c>
      <c r="F8" s="218">
        <v>0</v>
      </c>
      <c r="G8" s="218">
        <v>141165</v>
      </c>
      <c r="H8" s="218">
        <v>2253364</v>
      </c>
      <c r="I8" s="218">
        <v>278127</v>
      </c>
      <c r="J8" s="218">
        <v>0</v>
      </c>
      <c r="K8" s="218">
        <v>0</v>
      </c>
      <c r="L8" s="218">
        <v>0</v>
      </c>
      <c r="M8" s="218">
        <v>0</v>
      </c>
      <c r="N8" s="218">
        <f>SUM(E8:M8)</f>
        <v>13009162</v>
      </c>
      <c r="O8" s="218">
        <v>0</v>
      </c>
      <c r="P8" s="218">
        <f>SUM(C8,D8,N8,O8)</f>
        <v>29970801</v>
      </c>
      <c r="Q8" s="338"/>
      <c r="R8" s="338"/>
    </row>
    <row r="9" spans="1:18" s="69" customFormat="1" ht="18" customHeight="1">
      <c r="A9" s="634" t="s">
        <v>221</v>
      </c>
      <c r="B9" s="635"/>
      <c r="C9" s="219">
        <f>C8</f>
        <v>16961639</v>
      </c>
      <c r="D9" s="219">
        <f t="shared" ref="D9:J9" si="0">D8</f>
        <v>0</v>
      </c>
      <c r="E9" s="219">
        <f t="shared" si="0"/>
        <v>10336506</v>
      </c>
      <c r="F9" s="219">
        <f t="shared" si="0"/>
        <v>0</v>
      </c>
      <c r="G9" s="219">
        <f t="shared" si="0"/>
        <v>141165</v>
      </c>
      <c r="H9" s="219">
        <f t="shared" si="0"/>
        <v>2253364</v>
      </c>
      <c r="I9" s="219">
        <f t="shared" si="0"/>
        <v>278127</v>
      </c>
      <c r="J9" s="219">
        <f t="shared" si="0"/>
        <v>0</v>
      </c>
      <c r="K9" s="219"/>
      <c r="L9" s="219">
        <f>L8</f>
        <v>0</v>
      </c>
      <c r="M9" s="219"/>
      <c r="N9" s="219">
        <f>N8</f>
        <v>13009162</v>
      </c>
      <c r="O9" s="219">
        <f>O8</f>
        <v>0</v>
      </c>
      <c r="P9" s="219">
        <f>P8</f>
        <v>29970801</v>
      </c>
      <c r="Q9" s="338"/>
      <c r="R9" s="338"/>
    </row>
    <row r="10" spans="1:18" s="69" customFormat="1" ht="18" customHeight="1">
      <c r="A10" s="126" t="s">
        <v>23</v>
      </c>
      <c r="B10" s="126" t="s">
        <v>8</v>
      </c>
      <c r="C10" s="218">
        <v>543089146</v>
      </c>
      <c r="D10" s="218">
        <v>0</v>
      </c>
      <c r="E10" s="218">
        <v>126128400</v>
      </c>
      <c r="F10" s="218">
        <v>0</v>
      </c>
      <c r="G10" s="218">
        <v>57729068</v>
      </c>
      <c r="H10" s="218">
        <v>937990</v>
      </c>
      <c r="I10" s="218">
        <v>10307337</v>
      </c>
      <c r="J10" s="218">
        <v>0</v>
      </c>
      <c r="K10" s="218">
        <v>47844047</v>
      </c>
      <c r="L10" s="218">
        <v>33557786</v>
      </c>
      <c r="M10" s="218">
        <v>900000</v>
      </c>
      <c r="N10" s="218">
        <f t="shared" ref="N10:N20" si="1">SUM(E10:M10)</f>
        <v>277404628</v>
      </c>
      <c r="O10" s="218">
        <v>6112915</v>
      </c>
      <c r="P10" s="218">
        <f t="shared" ref="P10:P20" si="2">SUM(C10,D10,N10,O10)</f>
        <v>826606689</v>
      </c>
      <c r="Q10" s="338"/>
      <c r="R10" s="338"/>
    </row>
    <row r="11" spans="1:18" s="69" customFormat="1" ht="18" customHeight="1">
      <c r="A11" s="126" t="s">
        <v>24</v>
      </c>
      <c r="B11" s="126" t="s">
        <v>9</v>
      </c>
      <c r="C11" s="218">
        <v>36561471</v>
      </c>
      <c r="D11" s="218">
        <v>0</v>
      </c>
      <c r="E11" s="218">
        <v>10812637</v>
      </c>
      <c r="F11" s="218">
        <v>0</v>
      </c>
      <c r="G11" s="218">
        <v>9176046</v>
      </c>
      <c r="H11" s="218">
        <v>727750</v>
      </c>
      <c r="I11" s="218">
        <v>389127</v>
      </c>
      <c r="J11" s="218">
        <v>0</v>
      </c>
      <c r="K11" s="218">
        <v>0</v>
      </c>
      <c r="L11" s="218">
        <v>21729236</v>
      </c>
      <c r="M11" s="218">
        <v>5511818</v>
      </c>
      <c r="N11" s="218">
        <f t="shared" si="1"/>
        <v>48346614</v>
      </c>
      <c r="O11" s="218">
        <v>2373545</v>
      </c>
      <c r="P11" s="218">
        <f t="shared" si="2"/>
        <v>87281630</v>
      </c>
      <c r="Q11" s="338"/>
      <c r="R11" s="338"/>
    </row>
    <row r="12" spans="1:18" s="69" customFormat="1" ht="18" customHeight="1">
      <c r="A12" s="126" t="s">
        <v>25</v>
      </c>
      <c r="B12" s="126" t="s">
        <v>159</v>
      </c>
      <c r="C12" s="218">
        <v>5650938</v>
      </c>
      <c r="D12" s="218">
        <v>0</v>
      </c>
      <c r="E12" s="218">
        <v>0</v>
      </c>
      <c r="F12" s="218">
        <v>45395946</v>
      </c>
      <c r="G12" s="218">
        <v>5660757</v>
      </c>
      <c r="H12" s="218">
        <v>0</v>
      </c>
      <c r="I12" s="218">
        <v>0</v>
      </c>
      <c r="J12" s="218">
        <v>0</v>
      </c>
      <c r="K12" s="218">
        <v>0</v>
      </c>
      <c r="L12" s="218">
        <v>0</v>
      </c>
      <c r="M12" s="218">
        <v>0</v>
      </c>
      <c r="N12" s="218">
        <f t="shared" si="1"/>
        <v>51056703</v>
      </c>
      <c r="O12" s="218">
        <v>0</v>
      </c>
      <c r="P12" s="218">
        <f t="shared" si="2"/>
        <v>56707641</v>
      </c>
      <c r="Q12" s="338"/>
      <c r="R12" s="338"/>
    </row>
    <row r="13" spans="1:18" s="69" customFormat="1" ht="18" customHeight="1">
      <c r="A13" s="126" t="s">
        <v>26</v>
      </c>
      <c r="B13" s="126" t="s">
        <v>160</v>
      </c>
      <c r="C13" s="218">
        <v>7840589</v>
      </c>
      <c r="D13" s="218">
        <v>0</v>
      </c>
      <c r="E13" s="218">
        <v>0</v>
      </c>
      <c r="F13" s="218">
        <v>0</v>
      </c>
      <c r="G13" s="218">
        <v>0</v>
      </c>
      <c r="H13" s="218">
        <v>0</v>
      </c>
      <c r="I13" s="218">
        <v>0</v>
      </c>
      <c r="J13" s="218">
        <v>0</v>
      </c>
      <c r="K13" s="218">
        <v>0</v>
      </c>
      <c r="L13" s="218">
        <v>4426970</v>
      </c>
      <c r="M13" s="218">
        <v>0</v>
      </c>
      <c r="N13" s="218">
        <f t="shared" si="1"/>
        <v>4426970</v>
      </c>
      <c r="O13" s="218">
        <v>0</v>
      </c>
      <c r="P13" s="218">
        <f t="shared" si="2"/>
        <v>12267559</v>
      </c>
      <c r="Q13" s="338"/>
      <c r="R13" s="338"/>
    </row>
    <row r="14" spans="1:18" s="69" customFormat="1" ht="18" customHeight="1">
      <c r="A14" s="126" t="s">
        <v>27</v>
      </c>
      <c r="B14" s="126" t="s">
        <v>161</v>
      </c>
      <c r="C14" s="218">
        <v>3987187</v>
      </c>
      <c r="D14" s="218">
        <v>0</v>
      </c>
      <c r="E14" s="218">
        <v>0</v>
      </c>
      <c r="F14" s="218">
        <v>0</v>
      </c>
      <c r="G14" s="218">
        <v>0</v>
      </c>
      <c r="H14" s="218">
        <v>0</v>
      </c>
      <c r="I14" s="218">
        <v>0</v>
      </c>
      <c r="J14" s="218">
        <v>0</v>
      </c>
      <c r="K14" s="218">
        <v>0</v>
      </c>
      <c r="L14" s="218">
        <v>2428514</v>
      </c>
      <c r="M14" s="218">
        <v>0</v>
      </c>
      <c r="N14" s="218">
        <f t="shared" si="1"/>
        <v>2428514</v>
      </c>
      <c r="O14" s="218">
        <v>0</v>
      </c>
      <c r="P14" s="218">
        <f t="shared" si="2"/>
        <v>6415701</v>
      </c>
      <c r="Q14" s="338"/>
      <c r="R14" s="338"/>
    </row>
    <row r="15" spans="1:18" s="69" customFormat="1" ht="18" customHeight="1">
      <c r="A15" s="126" t="s">
        <v>100</v>
      </c>
      <c r="B15" s="126" t="s">
        <v>11</v>
      </c>
      <c r="C15" s="218">
        <v>1159636</v>
      </c>
      <c r="D15" s="218">
        <v>0</v>
      </c>
      <c r="E15" s="218">
        <v>0</v>
      </c>
      <c r="F15" s="218">
        <v>0</v>
      </c>
      <c r="G15" s="218">
        <v>0</v>
      </c>
      <c r="H15" s="218">
        <v>0</v>
      </c>
      <c r="I15" s="218">
        <v>0</v>
      </c>
      <c r="J15" s="218">
        <v>0</v>
      </c>
      <c r="K15" s="218">
        <v>0</v>
      </c>
      <c r="L15" s="218">
        <v>7298082</v>
      </c>
      <c r="M15" s="218">
        <v>15752699</v>
      </c>
      <c r="N15" s="218">
        <f t="shared" si="1"/>
        <v>23050781</v>
      </c>
      <c r="O15" s="218">
        <v>25356</v>
      </c>
      <c r="P15" s="218">
        <f t="shared" si="2"/>
        <v>24235773</v>
      </c>
      <c r="Q15" s="338"/>
      <c r="R15" s="338"/>
    </row>
    <row r="16" spans="1:18" s="81" customFormat="1" ht="18" customHeight="1">
      <c r="A16" s="126" t="s">
        <v>101</v>
      </c>
      <c r="B16" s="126" t="s">
        <v>162</v>
      </c>
      <c r="C16" s="218">
        <v>13343961</v>
      </c>
      <c r="D16" s="218">
        <v>0</v>
      </c>
      <c r="E16" s="218">
        <v>198494</v>
      </c>
      <c r="F16" s="218">
        <v>0</v>
      </c>
      <c r="G16" s="218">
        <v>0</v>
      </c>
      <c r="H16" s="218">
        <v>0</v>
      </c>
      <c r="I16" s="218">
        <v>0</v>
      </c>
      <c r="J16" s="218">
        <v>0</v>
      </c>
      <c r="K16" s="218">
        <v>0</v>
      </c>
      <c r="L16" s="218">
        <v>54735</v>
      </c>
      <c r="M16" s="218">
        <v>0</v>
      </c>
      <c r="N16" s="218">
        <f t="shared" si="1"/>
        <v>253229</v>
      </c>
      <c r="O16" s="218">
        <v>0</v>
      </c>
      <c r="P16" s="218">
        <f t="shared" si="2"/>
        <v>13597190</v>
      </c>
      <c r="Q16" s="338"/>
      <c r="R16" s="338"/>
    </row>
    <row r="17" spans="1:18" s="81" customFormat="1" ht="18" customHeight="1">
      <c r="A17" s="126" t="s">
        <v>102</v>
      </c>
      <c r="B17" s="126" t="s">
        <v>163</v>
      </c>
      <c r="C17" s="218">
        <v>21886925</v>
      </c>
      <c r="D17" s="218">
        <v>0</v>
      </c>
      <c r="E17" s="218">
        <v>2053865</v>
      </c>
      <c r="F17" s="218">
        <v>0</v>
      </c>
      <c r="G17" s="218">
        <v>334641</v>
      </c>
      <c r="H17" s="218">
        <v>0</v>
      </c>
      <c r="I17" s="218">
        <v>0</v>
      </c>
      <c r="J17" s="218">
        <v>0</v>
      </c>
      <c r="K17" s="218">
        <v>0</v>
      </c>
      <c r="L17" s="218">
        <v>14091597</v>
      </c>
      <c r="M17" s="218">
        <v>7669214</v>
      </c>
      <c r="N17" s="218">
        <f t="shared" si="1"/>
        <v>24149317</v>
      </c>
      <c r="O17" s="218">
        <v>0</v>
      </c>
      <c r="P17" s="218">
        <f t="shared" si="2"/>
        <v>46036242</v>
      </c>
      <c r="Q17" s="338"/>
      <c r="R17" s="338"/>
    </row>
    <row r="18" spans="1:18" s="81" customFormat="1" ht="18" customHeight="1">
      <c r="A18" s="126" t="s">
        <v>103</v>
      </c>
      <c r="B18" s="126" t="s">
        <v>164</v>
      </c>
      <c r="C18" s="218">
        <v>383673615</v>
      </c>
      <c r="D18" s="218">
        <v>0</v>
      </c>
      <c r="E18" s="218">
        <v>156000000</v>
      </c>
      <c r="F18" s="218">
        <v>0</v>
      </c>
      <c r="G18" s="218">
        <v>99783628</v>
      </c>
      <c r="H18" s="218">
        <v>0</v>
      </c>
      <c r="I18" s="218">
        <v>0</v>
      </c>
      <c r="J18" s="218">
        <v>0</v>
      </c>
      <c r="K18" s="218">
        <v>0</v>
      </c>
      <c r="L18" s="218">
        <v>2348958</v>
      </c>
      <c r="M18" s="218">
        <v>0</v>
      </c>
      <c r="N18" s="218">
        <f t="shared" si="1"/>
        <v>258132586</v>
      </c>
      <c r="O18" s="218">
        <v>772839</v>
      </c>
      <c r="P18" s="218">
        <f t="shared" si="2"/>
        <v>642579040</v>
      </c>
      <c r="Q18" s="338"/>
      <c r="R18" s="338"/>
    </row>
    <row r="19" spans="1:18" s="81" customFormat="1" ht="18" customHeight="1">
      <c r="A19" s="126" t="s">
        <v>104</v>
      </c>
      <c r="B19" s="126" t="s">
        <v>165</v>
      </c>
      <c r="C19" s="218">
        <v>122769316</v>
      </c>
      <c r="D19" s="218">
        <v>0</v>
      </c>
      <c r="E19" s="218">
        <v>0</v>
      </c>
      <c r="F19" s="218">
        <v>0</v>
      </c>
      <c r="G19" s="218">
        <v>187576198</v>
      </c>
      <c r="H19" s="218">
        <v>0</v>
      </c>
      <c r="I19" s="218">
        <v>0</v>
      </c>
      <c r="J19" s="218">
        <v>0</v>
      </c>
      <c r="K19" s="218">
        <v>0</v>
      </c>
      <c r="L19" s="218">
        <v>0</v>
      </c>
      <c r="M19" s="218">
        <v>0</v>
      </c>
      <c r="N19" s="218">
        <f t="shared" si="1"/>
        <v>187576198</v>
      </c>
      <c r="O19" s="218">
        <v>0</v>
      </c>
      <c r="P19" s="218">
        <f t="shared" si="2"/>
        <v>310345514</v>
      </c>
      <c r="Q19" s="338"/>
      <c r="R19" s="338"/>
    </row>
    <row r="20" spans="1:18" s="81" customFormat="1" ht="18" customHeight="1">
      <c r="A20" s="126" t="s">
        <v>105</v>
      </c>
      <c r="B20" s="126" t="s">
        <v>166</v>
      </c>
      <c r="C20" s="218">
        <v>16632196</v>
      </c>
      <c r="D20" s="218">
        <v>0</v>
      </c>
      <c r="E20" s="218">
        <v>8718944</v>
      </c>
      <c r="F20" s="218">
        <v>0</v>
      </c>
      <c r="G20" s="218">
        <v>0</v>
      </c>
      <c r="H20" s="218">
        <v>0</v>
      </c>
      <c r="I20" s="218">
        <v>0</v>
      </c>
      <c r="J20" s="218">
        <v>0</v>
      </c>
      <c r="K20" s="218">
        <v>0</v>
      </c>
      <c r="L20" s="218">
        <v>0</v>
      </c>
      <c r="M20" s="218">
        <v>0</v>
      </c>
      <c r="N20" s="218">
        <f t="shared" si="1"/>
        <v>8718944</v>
      </c>
      <c r="O20" s="218">
        <v>0</v>
      </c>
      <c r="P20" s="218">
        <f t="shared" si="2"/>
        <v>25351140</v>
      </c>
      <c r="Q20" s="338"/>
      <c r="R20" s="338"/>
    </row>
    <row r="21" spans="1:18" s="81" customFormat="1" ht="18" customHeight="1">
      <c r="A21" s="634" t="s">
        <v>222</v>
      </c>
      <c r="B21" s="635"/>
      <c r="C21" s="219">
        <f t="shared" ref="C21:P21" si="3">SUM(C10:C20)</f>
        <v>1156594980</v>
      </c>
      <c r="D21" s="219">
        <f t="shared" si="3"/>
        <v>0</v>
      </c>
      <c r="E21" s="219">
        <f t="shared" si="3"/>
        <v>303912340</v>
      </c>
      <c r="F21" s="219">
        <f t="shared" si="3"/>
        <v>45395946</v>
      </c>
      <c r="G21" s="219">
        <f t="shared" si="3"/>
        <v>360260338</v>
      </c>
      <c r="H21" s="219">
        <f t="shared" si="3"/>
        <v>1665740</v>
      </c>
      <c r="I21" s="219">
        <f t="shared" si="3"/>
        <v>10696464</v>
      </c>
      <c r="J21" s="219">
        <f t="shared" si="3"/>
        <v>0</v>
      </c>
      <c r="K21" s="219">
        <f t="shared" si="3"/>
        <v>47844047</v>
      </c>
      <c r="L21" s="219">
        <f t="shared" si="3"/>
        <v>85935878</v>
      </c>
      <c r="M21" s="219">
        <f t="shared" si="3"/>
        <v>29833731</v>
      </c>
      <c r="N21" s="219">
        <f t="shared" si="3"/>
        <v>885544484</v>
      </c>
      <c r="O21" s="219">
        <f t="shared" si="3"/>
        <v>9284655</v>
      </c>
      <c r="P21" s="219">
        <f t="shared" si="3"/>
        <v>2051424119</v>
      </c>
      <c r="Q21" s="338"/>
      <c r="R21" s="338"/>
    </row>
    <row r="22" spans="1:18" s="81" customFormat="1" ht="18" customHeight="1">
      <c r="A22" s="122" t="s">
        <v>28</v>
      </c>
      <c r="B22" s="113" t="s">
        <v>14</v>
      </c>
      <c r="C22" s="218">
        <v>20909790</v>
      </c>
      <c r="D22" s="218">
        <v>0</v>
      </c>
      <c r="E22" s="218">
        <v>0</v>
      </c>
      <c r="F22" s="218">
        <v>0</v>
      </c>
      <c r="G22" s="218">
        <v>0</v>
      </c>
      <c r="H22" s="218">
        <v>0</v>
      </c>
      <c r="I22" s="218">
        <v>0</v>
      </c>
      <c r="J22" s="218">
        <v>0</v>
      </c>
      <c r="K22" s="218">
        <v>0</v>
      </c>
      <c r="L22" s="218">
        <v>4908831</v>
      </c>
      <c r="M22" s="218">
        <v>4362500</v>
      </c>
      <c r="N22" s="218">
        <f t="shared" ref="N22:N27" si="4">SUM(E22:M22)</f>
        <v>9271331</v>
      </c>
      <c r="O22" s="218">
        <v>0</v>
      </c>
      <c r="P22" s="218">
        <f t="shared" ref="P22:P27" si="5">SUM(C22,D22,N22,O22)</f>
        <v>30181121</v>
      </c>
      <c r="Q22" s="338"/>
      <c r="R22" s="338"/>
    </row>
    <row r="23" spans="1:18" s="81" customFormat="1" ht="18" customHeight="1">
      <c r="A23" s="122" t="s">
        <v>106</v>
      </c>
      <c r="B23" s="113" t="s">
        <v>15</v>
      </c>
      <c r="C23" s="218">
        <v>6160951</v>
      </c>
      <c r="D23" s="218">
        <v>0</v>
      </c>
      <c r="E23" s="218">
        <v>0</v>
      </c>
      <c r="F23" s="218">
        <v>0</v>
      </c>
      <c r="G23" s="218">
        <v>0</v>
      </c>
      <c r="H23" s="218">
        <v>0</v>
      </c>
      <c r="I23" s="218">
        <v>0</v>
      </c>
      <c r="J23" s="218">
        <v>0</v>
      </c>
      <c r="K23" s="218">
        <v>0</v>
      </c>
      <c r="L23" s="218">
        <v>2261607</v>
      </c>
      <c r="M23" s="218">
        <v>1000000</v>
      </c>
      <c r="N23" s="218">
        <f t="shared" si="4"/>
        <v>3261607</v>
      </c>
      <c r="O23" s="218">
        <v>0</v>
      </c>
      <c r="P23" s="218">
        <f t="shared" si="5"/>
        <v>9422558</v>
      </c>
      <c r="Q23" s="338"/>
      <c r="R23" s="338"/>
    </row>
    <row r="24" spans="1:18" s="81" customFormat="1" ht="18" customHeight="1">
      <c r="A24" s="122" t="s">
        <v>107</v>
      </c>
      <c r="B24" s="113" t="s">
        <v>16</v>
      </c>
      <c r="C24" s="218">
        <v>23335</v>
      </c>
      <c r="D24" s="218">
        <v>0</v>
      </c>
      <c r="E24" s="218">
        <v>0</v>
      </c>
      <c r="F24" s="218">
        <v>0</v>
      </c>
      <c r="G24" s="218">
        <v>0</v>
      </c>
      <c r="H24" s="218">
        <v>0</v>
      </c>
      <c r="I24" s="218">
        <v>0</v>
      </c>
      <c r="J24" s="218">
        <v>0</v>
      </c>
      <c r="K24" s="218">
        <v>0</v>
      </c>
      <c r="L24" s="218">
        <v>6289078</v>
      </c>
      <c r="M24" s="218">
        <v>350000</v>
      </c>
      <c r="N24" s="218">
        <f t="shared" si="4"/>
        <v>6639078</v>
      </c>
      <c r="O24" s="218">
        <v>0</v>
      </c>
      <c r="P24" s="218">
        <f t="shared" si="5"/>
        <v>6662413</v>
      </c>
      <c r="Q24" s="338"/>
      <c r="R24" s="338"/>
    </row>
    <row r="25" spans="1:18" s="81" customFormat="1" ht="18" customHeight="1">
      <c r="A25" s="122" t="s">
        <v>93</v>
      </c>
      <c r="B25" s="113" t="s">
        <v>135</v>
      </c>
      <c r="C25" s="218">
        <v>25879830</v>
      </c>
      <c r="D25" s="218">
        <v>4285000</v>
      </c>
      <c r="E25" s="218">
        <v>0</v>
      </c>
      <c r="F25" s="218">
        <v>0</v>
      </c>
      <c r="G25" s="218">
        <v>0</v>
      </c>
      <c r="H25" s="218">
        <v>0</v>
      </c>
      <c r="I25" s="218">
        <v>0</v>
      </c>
      <c r="J25" s="218">
        <v>0</v>
      </c>
      <c r="K25" s="218">
        <v>0</v>
      </c>
      <c r="L25" s="218">
        <v>0</v>
      </c>
      <c r="M25" s="218">
        <v>3049500</v>
      </c>
      <c r="N25" s="218">
        <f t="shared" si="4"/>
        <v>3049500</v>
      </c>
      <c r="O25" s="218">
        <v>100000</v>
      </c>
      <c r="P25" s="218">
        <f t="shared" si="5"/>
        <v>33314330</v>
      </c>
      <c r="Q25" s="338"/>
      <c r="R25" s="338"/>
    </row>
    <row r="26" spans="1:18" s="81" customFormat="1" ht="17.399999999999999" customHeight="1">
      <c r="A26" s="122" t="s">
        <v>94</v>
      </c>
      <c r="B26" s="113" t="s">
        <v>290</v>
      </c>
      <c r="C26" s="218">
        <v>4465218</v>
      </c>
      <c r="D26" s="218">
        <v>0</v>
      </c>
      <c r="E26" s="218">
        <v>12265549</v>
      </c>
      <c r="F26" s="218">
        <v>0</v>
      </c>
      <c r="G26" s="218">
        <v>0</v>
      </c>
      <c r="H26" s="218">
        <v>0</v>
      </c>
      <c r="I26" s="218">
        <v>0</v>
      </c>
      <c r="J26" s="218">
        <v>19138574</v>
      </c>
      <c r="K26" s="218">
        <v>0</v>
      </c>
      <c r="L26" s="218">
        <v>1300000</v>
      </c>
      <c r="M26" s="218">
        <v>3919173</v>
      </c>
      <c r="N26" s="218">
        <f t="shared" si="4"/>
        <v>36623296</v>
      </c>
      <c r="O26" s="218">
        <v>0</v>
      </c>
      <c r="P26" s="218">
        <f t="shared" si="5"/>
        <v>41088514</v>
      </c>
      <c r="Q26" s="338"/>
      <c r="R26" s="338"/>
    </row>
    <row r="27" spans="1:18" s="81" customFormat="1" ht="18" customHeight="1">
      <c r="A27" s="122" t="s">
        <v>108</v>
      </c>
      <c r="B27" s="113" t="s">
        <v>136</v>
      </c>
      <c r="C27" s="218">
        <v>5693995</v>
      </c>
      <c r="D27" s="218">
        <v>0</v>
      </c>
      <c r="E27" s="218">
        <v>0</v>
      </c>
      <c r="F27" s="218">
        <v>0</v>
      </c>
      <c r="G27" s="218">
        <v>0</v>
      </c>
      <c r="H27" s="218">
        <v>0</v>
      </c>
      <c r="I27" s="218">
        <v>0</v>
      </c>
      <c r="J27" s="218">
        <v>930450</v>
      </c>
      <c r="K27" s="218">
        <v>0</v>
      </c>
      <c r="L27" s="218">
        <v>1275082</v>
      </c>
      <c r="M27" s="218">
        <v>1147261</v>
      </c>
      <c r="N27" s="218">
        <f t="shared" si="4"/>
        <v>3352793</v>
      </c>
      <c r="O27" s="218">
        <v>0</v>
      </c>
      <c r="P27" s="218">
        <f t="shared" si="5"/>
        <v>9046788</v>
      </c>
      <c r="Q27" s="338"/>
      <c r="R27" s="338"/>
    </row>
    <row r="28" spans="1:18" s="81" customFormat="1" ht="18" customHeight="1">
      <c r="A28" s="634" t="s">
        <v>223</v>
      </c>
      <c r="B28" s="635"/>
      <c r="C28" s="219">
        <f>SUM(C22:C27)</f>
        <v>63133119</v>
      </c>
      <c r="D28" s="219">
        <f t="shared" ref="D28:K28" si="6">SUM(D22:D27)</f>
        <v>4285000</v>
      </c>
      <c r="E28" s="219">
        <f t="shared" si="6"/>
        <v>12265549</v>
      </c>
      <c r="F28" s="219">
        <f t="shared" si="6"/>
        <v>0</v>
      </c>
      <c r="G28" s="219">
        <f t="shared" si="6"/>
        <v>0</v>
      </c>
      <c r="H28" s="219">
        <f t="shared" si="6"/>
        <v>0</v>
      </c>
      <c r="I28" s="219">
        <f t="shared" si="6"/>
        <v>0</v>
      </c>
      <c r="J28" s="219">
        <f t="shared" si="6"/>
        <v>20069024</v>
      </c>
      <c r="K28" s="219">
        <f t="shared" si="6"/>
        <v>0</v>
      </c>
      <c r="L28" s="219">
        <f>SUM(L22:L27)</f>
        <v>16034598</v>
      </c>
      <c r="M28" s="219">
        <f>SUM(M22:M27)</f>
        <v>13828434</v>
      </c>
      <c r="N28" s="219">
        <f>SUM(N22:N27)</f>
        <v>62197605</v>
      </c>
      <c r="O28" s="219">
        <f>SUM(O22:O27)</f>
        <v>100000</v>
      </c>
      <c r="P28" s="219">
        <f>SUM(P22:P27)</f>
        <v>129715724</v>
      </c>
      <c r="Q28" s="338"/>
      <c r="R28" s="338"/>
    </row>
    <row r="29" spans="1:18" s="81" customFormat="1" ht="18" customHeight="1">
      <c r="A29" s="122" t="s">
        <v>95</v>
      </c>
      <c r="B29" s="112" t="s">
        <v>167</v>
      </c>
      <c r="C29" s="218">
        <v>38706935</v>
      </c>
      <c r="D29" s="218">
        <v>0</v>
      </c>
      <c r="E29" s="218">
        <v>0</v>
      </c>
      <c r="F29" s="218">
        <v>0</v>
      </c>
      <c r="G29" s="218">
        <v>0</v>
      </c>
      <c r="H29" s="218">
        <v>13337686</v>
      </c>
      <c r="I29" s="218">
        <v>1699128</v>
      </c>
      <c r="J29" s="218">
        <v>0</v>
      </c>
      <c r="K29" s="218">
        <v>2581322</v>
      </c>
      <c r="L29" s="218">
        <v>0</v>
      </c>
      <c r="M29" s="218">
        <v>4686171</v>
      </c>
      <c r="N29" s="218">
        <f t="shared" ref="N29:N31" si="7">SUM(E29:M29)</f>
        <v>22304307</v>
      </c>
      <c r="O29" s="218">
        <v>83083</v>
      </c>
      <c r="P29" s="218">
        <f>SUM(C29,D29,N29,O29)</f>
        <v>61094325</v>
      </c>
      <c r="Q29" s="338"/>
      <c r="R29" s="338"/>
    </row>
    <row r="30" spans="1:18" s="81" customFormat="1" ht="18" customHeight="1">
      <c r="A30" s="122" t="s">
        <v>96</v>
      </c>
      <c r="B30" s="112" t="s">
        <v>109</v>
      </c>
      <c r="C30" s="218">
        <v>2139087</v>
      </c>
      <c r="D30" s="218">
        <v>0</v>
      </c>
      <c r="E30" s="218">
        <v>0</v>
      </c>
      <c r="F30" s="218">
        <v>0</v>
      </c>
      <c r="G30" s="218">
        <v>0</v>
      </c>
      <c r="H30" s="218">
        <v>1967708</v>
      </c>
      <c r="I30" s="218">
        <v>128461</v>
      </c>
      <c r="J30" s="218">
        <v>0</v>
      </c>
      <c r="K30" s="218">
        <v>0</v>
      </c>
      <c r="L30" s="218">
        <v>0</v>
      </c>
      <c r="M30" s="218">
        <v>5179031</v>
      </c>
      <c r="N30" s="218">
        <f t="shared" si="7"/>
        <v>7275200</v>
      </c>
      <c r="O30" s="218">
        <v>0</v>
      </c>
      <c r="P30" s="218">
        <f>SUM(C30,D30,N30,O30)</f>
        <v>9414287</v>
      </c>
      <c r="Q30" s="338"/>
      <c r="R30" s="338"/>
    </row>
    <row r="31" spans="1:18" s="81" customFormat="1" ht="18" customHeight="1">
      <c r="A31" s="122" t="s">
        <v>97</v>
      </c>
      <c r="B31" s="112" t="s">
        <v>168</v>
      </c>
      <c r="C31" s="218">
        <v>2474761</v>
      </c>
      <c r="D31" s="218">
        <v>0</v>
      </c>
      <c r="E31" s="218">
        <v>0</v>
      </c>
      <c r="F31" s="218">
        <v>0</v>
      </c>
      <c r="G31" s="218">
        <v>0</v>
      </c>
      <c r="H31" s="218">
        <v>6925057</v>
      </c>
      <c r="I31" s="218">
        <v>0</v>
      </c>
      <c r="J31" s="218">
        <v>0</v>
      </c>
      <c r="K31" s="218">
        <v>0</v>
      </c>
      <c r="L31" s="218">
        <v>0</v>
      </c>
      <c r="M31" s="218">
        <v>0</v>
      </c>
      <c r="N31" s="218">
        <f t="shared" si="7"/>
        <v>6925057</v>
      </c>
      <c r="O31" s="218">
        <v>0</v>
      </c>
      <c r="P31" s="218">
        <f>SUM(C31,D31,N31,O31)</f>
        <v>9399818</v>
      </c>
      <c r="Q31" s="338"/>
      <c r="R31" s="338"/>
    </row>
    <row r="32" spans="1:18" s="82" customFormat="1" ht="18" customHeight="1">
      <c r="A32" s="634" t="s">
        <v>372</v>
      </c>
      <c r="B32" s="635"/>
      <c r="C32" s="219">
        <f>SUM(C29:C31)</f>
        <v>43320783</v>
      </c>
      <c r="D32" s="219">
        <f t="shared" ref="D32:K32" si="8">SUM(D29:D31)</f>
        <v>0</v>
      </c>
      <c r="E32" s="219">
        <f t="shared" si="8"/>
        <v>0</v>
      </c>
      <c r="F32" s="219">
        <f t="shared" si="8"/>
        <v>0</v>
      </c>
      <c r="G32" s="219">
        <f t="shared" si="8"/>
        <v>0</v>
      </c>
      <c r="H32" s="219">
        <f t="shared" si="8"/>
        <v>22230451</v>
      </c>
      <c r="I32" s="219">
        <f t="shared" si="8"/>
        <v>1827589</v>
      </c>
      <c r="J32" s="219">
        <f t="shared" si="8"/>
        <v>0</v>
      </c>
      <c r="K32" s="219">
        <f t="shared" si="8"/>
        <v>2581322</v>
      </c>
      <c r="L32" s="219">
        <f>SUM(L29:L31)</f>
        <v>0</v>
      </c>
      <c r="M32" s="219">
        <f>SUM(M29:M31)</f>
        <v>9865202</v>
      </c>
      <c r="N32" s="219">
        <f>SUM(N29:N31)</f>
        <v>36504564</v>
      </c>
      <c r="O32" s="219">
        <f>SUM(O29:O31)</f>
        <v>83083</v>
      </c>
      <c r="P32" s="219">
        <f>SUM(P29:P31)</f>
        <v>79908430</v>
      </c>
      <c r="Q32" s="338"/>
      <c r="R32" s="338"/>
    </row>
    <row r="33" spans="1:18" s="81" customFormat="1" ht="18" customHeight="1">
      <c r="A33" s="122" t="s">
        <v>98</v>
      </c>
      <c r="B33" s="125" t="s">
        <v>18</v>
      </c>
      <c r="C33" s="218">
        <v>18062278</v>
      </c>
      <c r="D33" s="218">
        <v>0</v>
      </c>
      <c r="E33" s="218">
        <v>7482899</v>
      </c>
      <c r="F33" s="218">
        <v>0</v>
      </c>
      <c r="G33" s="218">
        <v>1862859</v>
      </c>
      <c r="H33" s="218">
        <v>691927</v>
      </c>
      <c r="I33" s="218">
        <v>378298</v>
      </c>
      <c r="J33" s="218">
        <v>0</v>
      </c>
      <c r="K33" s="218">
        <v>0</v>
      </c>
      <c r="L33" s="218">
        <v>526399</v>
      </c>
      <c r="M33" s="218">
        <v>0</v>
      </c>
      <c r="N33" s="218">
        <f t="shared" ref="N33:N36" si="9">SUM(E33:M33)</f>
        <v>10942382</v>
      </c>
      <c r="O33" s="218">
        <v>0</v>
      </c>
      <c r="P33" s="218">
        <f>SUM(C33,D33,N33,O33)</f>
        <v>29004660</v>
      </c>
      <c r="Q33" s="338"/>
      <c r="R33" s="338"/>
    </row>
    <row r="34" spans="1:18" s="81" customFormat="1" ht="18" customHeight="1">
      <c r="A34" s="122" t="s">
        <v>252</v>
      </c>
      <c r="B34" s="125" t="s">
        <v>19</v>
      </c>
      <c r="C34" s="218">
        <v>9622892</v>
      </c>
      <c r="D34" s="218">
        <v>0</v>
      </c>
      <c r="E34" s="218">
        <v>3595750</v>
      </c>
      <c r="F34" s="218">
        <v>0</v>
      </c>
      <c r="G34" s="218">
        <v>859119</v>
      </c>
      <c r="H34" s="218">
        <v>638101</v>
      </c>
      <c r="I34" s="218">
        <v>174126</v>
      </c>
      <c r="J34" s="218">
        <v>0</v>
      </c>
      <c r="K34" s="218">
        <v>0</v>
      </c>
      <c r="L34" s="218">
        <v>65885</v>
      </c>
      <c r="M34" s="218">
        <v>0</v>
      </c>
      <c r="N34" s="218">
        <f t="shared" si="9"/>
        <v>5332981</v>
      </c>
      <c r="O34" s="218">
        <v>0</v>
      </c>
      <c r="P34" s="218">
        <f>SUM(C34,D34,N34,O34)</f>
        <v>14955873</v>
      </c>
      <c r="Q34" s="338"/>
      <c r="R34" s="338"/>
    </row>
    <row r="35" spans="1:18" s="81" customFormat="1" ht="18" customHeight="1">
      <c r="A35" s="122" t="s">
        <v>253</v>
      </c>
      <c r="B35" s="125" t="s">
        <v>20</v>
      </c>
      <c r="C35" s="218">
        <v>617243</v>
      </c>
      <c r="D35" s="218">
        <v>0</v>
      </c>
      <c r="E35" s="218">
        <v>406785</v>
      </c>
      <c r="F35" s="218">
        <v>0</v>
      </c>
      <c r="G35" s="218">
        <v>82287</v>
      </c>
      <c r="H35" s="218">
        <v>90552</v>
      </c>
      <c r="I35" s="218">
        <v>16799</v>
      </c>
      <c r="J35" s="218">
        <v>0</v>
      </c>
      <c r="K35" s="218">
        <v>0</v>
      </c>
      <c r="L35" s="218">
        <v>198</v>
      </c>
      <c r="M35" s="218">
        <v>0</v>
      </c>
      <c r="N35" s="218">
        <f t="shared" si="9"/>
        <v>596621</v>
      </c>
      <c r="O35" s="218">
        <v>0</v>
      </c>
      <c r="P35" s="218">
        <f>SUM(C35,D35,N35,O35)</f>
        <v>1213864</v>
      </c>
      <c r="Q35" s="338"/>
      <c r="R35" s="338"/>
    </row>
    <row r="36" spans="1:18" s="81" customFormat="1" ht="18" customHeight="1">
      <c r="A36" s="122" t="s">
        <v>254</v>
      </c>
      <c r="B36" s="125" t="s">
        <v>21</v>
      </c>
      <c r="C36" s="218">
        <v>27530700</v>
      </c>
      <c r="D36" s="218">
        <v>0</v>
      </c>
      <c r="E36" s="218">
        <v>12390092</v>
      </c>
      <c r="F36" s="218">
        <v>0</v>
      </c>
      <c r="G36" s="218">
        <v>2969747</v>
      </c>
      <c r="H36" s="218">
        <v>1412937</v>
      </c>
      <c r="I36" s="218">
        <v>603469</v>
      </c>
      <c r="J36" s="218">
        <v>0</v>
      </c>
      <c r="K36" s="218">
        <v>0</v>
      </c>
      <c r="L36" s="218">
        <v>1753059</v>
      </c>
      <c r="M36" s="218">
        <v>868808</v>
      </c>
      <c r="N36" s="218">
        <f t="shared" si="9"/>
        <v>19998112</v>
      </c>
      <c r="O36" s="218">
        <v>0</v>
      </c>
      <c r="P36" s="218">
        <f>SUM(C36,D36,N36,O36)</f>
        <v>47528812</v>
      </c>
      <c r="Q36" s="338"/>
      <c r="R36" s="338"/>
    </row>
    <row r="37" spans="1:18" s="82" customFormat="1" ht="18" customHeight="1">
      <c r="A37" s="634" t="s">
        <v>352</v>
      </c>
      <c r="B37" s="635"/>
      <c r="C37" s="219">
        <f>SUM(C33:C36)</f>
        <v>55833113</v>
      </c>
      <c r="D37" s="219">
        <f t="shared" ref="D37:K37" si="10">SUM(D33:D36)</f>
        <v>0</v>
      </c>
      <c r="E37" s="219">
        <f t="shared" si="10"/>
        <v>23875526</v>
      </c>
      <c r="F37" s="219">
        <f t="shared" si="10"/>
        <v>0</v>
      </c>
      <c r="G37" s="219">
        <f t="shared" si="10"/>
        <v>5774012</v>
      </c>
      <c r="H37" s="219">
        <f t="shared" si="10"/>
        <v>2833517</v>
      </c>
      <c r="I37" s="219">
        <f t="shared" si="10"/>
        <v>1172692</v>
      </c>
      <c r="J37" s="219">
        <f t="shared" si="10"/>
        <v>0</v>
      </c>
      <c r="K37" s="219">
        <f t="shared" si="10"/>
        <v>0</v>
      </c>
      <c r="L37" s="219">
        <f>SUM(L33:L36)</f>
        <v>2345541</v>
      </c>
      <c r="M37" s="219">
        <f>SUM(M33:M36)</f>
        <v>868808</v>
      </c>
      <c r="N37" s="219">
        <f>SUM(N33:N36)</f>
        <v>36870096</v>
      </c>
      <c r="O37" s="219">
        <f>SUM(O33:O36)</f>
        <v>0</v>
      </c>
      <c r="P37" s="219">
        <f>SUM(P33:P36)</f>
        <v>92703209</v>
      </c>
      <c r="Q37" s="338"/>
      <c r="R37" s="338"/>
    </row>
    <row r="38" spans="1:18" s="81" customFormat="1" ht="18" customHeight="1">
      <c r="A38" s="122" t="s">
        <v>99</v>
      </c>
      <c r="B38" s="123" t="s">
        <v>110</v>
      </c>
      <c r="C38" s="218">
        <v>22353312</v>
      </c>
      <c r="D38" s="218">
        <v>0</v>
      </c>
      <c r="E38" s="218">
        <v>5204076</v>
      </c>
      <c r="F38" s="218">
        <v>0</v>
      </c>
      <c r="G38" s="218">
        <v>2387587</v>
      </c>
      <c r="H38" s="218">
        <v>0</v>
      </c>
      <c r="I38" s="218">
        <v>382379</v>
      </c>
      <c r="J38" s="218">
        <v>0</v>
      </c>
      <c r="K38" s="218">
        <v>0</v>
      </c>
      <c r="L38" s="218">
        <v>2270399</v>
      </c>
      <c r="M38" s="218">
        <v>0</v>
      </c>
      <c r="N38" s="218">
        <f>SUM(E38:M38)</f>
        <v>10244441</v>
      </c>
      <c r="O38" s="218">
        <v>0</v>
      </c>
      <c r="P38" s="218">
        <f>SUM(C38,D38,N38,O38)</f>
        <v>32597753</v>
      </c>
      <c r="Q38" s="338"/>
      <c r="R38" s="338"/>
    </row>
    <row r="39" spans="1:18" s="82" customFormat="1" ht="18" customHeight="1">
      <c r="A39" s="634" t="s">
        <v>351</v>
      </c>
      <c r="B39" s="635"/>
      <c r="C39" s="219">
        <f>SUM(C38:C38)</f>
        <v>22353312</v>
      </c>
      <c r="D39" s="219">
        <f t="shared" ref="D39:J39" si="11">SUM(D38:D38)</f>
        <v>0</v>
      </c>
      <c r="E39" s="219">
        <f t="shared" si="11"/>
        <v>5204076</v>
      </c>
      <c r="F39" s="219">
        <f t="shared" si="11"/>
        <v>0</v>
      </c>
      <c r="G39" s="219">
        <f t="shared" si="11"/>
        <v>2387587</v>
      </c>
      <c r="H39" s="219">
        <f t="shared" si="11"/>
        <v>0</v>
      </c>
      <c r="I39" s="219">
        <f t="shared" si="11"/>
        <v>382379</v>
      </c>
      <c r="J39" s="219">
        <f t="shared" si="11"/>
        <v>0</v>
      </c>
      <c r="K39" s="219">
        <f t="shared" ref="K39" si="12">SUM(K38:K38)</f>
        <v>0</v>
      </c>
      <c r="L39" s="219">
        <f>SUM(L38:L38)</f>
        <v>2270399</v>
      </c>
      <c r="M39" s="219">
        <f>SUM(M38:M38)</f>
        <v>0</v>
      </c>
      <c r="N39" s="219">
        <f>SUM(N38:N38)</f>
        <v>10244441</v>
      </c>
      <c r="O39" s="219">
        <f>SUM(O38:O38)</f>
        <v>0</v>
      </c>
      <c r="P39" s="219">
        <f>SUM(P38:P38)</f>
        <v>32597753</v>
      </c>
      <c r="Q39" s="338"/>
    </row>
    <row r="40" spans="1:18" s="82" customFormat="1" ht="15.6">
      <c r="A40" s="122" t="s">
        <v>524</v>
      </c>
      <c r="B40" s="123" t="s">
        <v>525</v>
      </c>
      <c r="C40" s="218">
        <v>6972110</v>
      </c>
      <c r="D40" s="218">
        <v>0</v>
      </c>
      <c r="E40" s="218">
        <v>0</v>
      </c>
      <c r="F40" s="218">
        <v>0</v>
      </c>
      <c r="G40" s="218">
        <v>640053</v>
      </c>
      <c r="H40" s="218">
        <v>0</v>
      </c>
      <c r="I40" s="218">
        <v>77407</v>
      </c>
      <c r="J40" s="218">
        <v>0</v>
      </c>
      <c r="K40" s="218">
        <v>0</v>
      </c>
      <c r="L40" s="218">
        <v>0</v>
      </c>
      <c r="M40" s="218">
        <v>0</v>
      </c>
      <c r="N40" s="218">
        <f>SUM(E40:M40)</f>
        <v>717460</v>
      </c>
      <c r="O40" s="218">
        <v>0</v>
      </c>
      <c r="P40" s="218">
        <f>SUM(C40,D40,N40,O40)</f>
        <v>7689570</v>
      </c>
      <c r="R40" s="338"/>
    </row>
    <row r="41" spans="1:18" s="82" customFormat="1" ht="16.2">
      <c r="A41" s="634" t="s">
        <v>549</v>
      </c>
      <c r="B41" s="635"/>
      <c r="C41" s="219">
        <f>SUM(C40:C40)</f>
        <v>6972110</v>
      </c>
      <c r="D41" s="219">
        <f t="shared" ref="D41:J41" si="13">SUM(D40:D40)</f>
        <v>0</v>
      </c>
      <c r="E41" s="219">
        <f t="shared" si="13"/>
        <v>0</v>
      </c>
      <c r="F41" s="219">
        <f t="shared" si="13"/>
        <v>0</v>
      </c>
      <c r="G41" s="219">
        <f t="shared" si="13"/>
        <v>640053</v>
      </c>
      <c r="H41" s="219">
        <f t="shared" si="13"/>
        <v>0</v>
      </c>
      <c r="I41" s="219">
        <f t="shared" si="13"/>
        <v>77407</v>
      </c>
      <c r="J41" s="219">
        <f t="shared" si="13"/>
        <v>0</v>
      </c>
      <c r="K41" s="219">
        <f t="shared" ref="K41" si="14">SUM(K40:K40)</f>
        <v>0</v>
      </c>
      <c r="L41" s="219">
        <f>SUM(L40:L40)</f>
        <v>0</v>
      </c>
      <c r="M41" s="219">
        <f>SUM(M40:M40)</f>
        <v>0</v>
      </c>
      <c r="N41" s="219">
        <f>SUM(N40:N40)</f>
        <v>717460</v>
      </c>
      <c r="O41" s="219">
        <f>SUM(O40:O40)</f>
        <v>0</v>
      </c>
      <c r="P41" s="219">
        <f>SUM(P40:P40)</f>
        <v>7689570</v>
      </c>
    </row>
    <row r="42" spans="1:18" s="82" customFormat="1" ht="16.2">
      <c r="A42" s="134"/>
      <c r="B42" s="134"/>
      <c r="C42" s="220"/>
      <c r="D42" s="220"/>
      <c r="E42" s="220"/>
      <c r="F42" s="220"/>
      <c r="G42" s="220"/>
      <c r="H42" s="220"/>
      <c r="I42" s="220"/>
      <c r="J42" s="220"/>
      <c r="K42" s="220"/>
      <c r="L42" s="220"/>
      <c r="M42" s="220"/>
      <c r="N42" s="220"/>
      <c r="O42" s="220"/>
      <c r="P42" s="221"/>
    </row>
    <row r="43" spans="1:18" s="82" customFormat="1" ht="15" customHeight="1" thickBot="1">
      <c r="A43" s="131" t="s">
        <v>229</v>
      </c>
      <c r="B43" s="222"/>
      <c r="C43" s="223">
        <f>SUM(C39,C37,C32,C28,C21,C9,C41)</f>
        <v>1365169056</v>
      </c>
      <c r="D43" s="223">
        <f t="shared" ref="D43:P43" si="15">SUM(D39,D37,D32,D28,D21,D9,D41)</f>
        <v>4285000</v>
      </c>
      <c r="E43" s="223">
        <f t="shared" si="15"/>
        <v>355593997</v>
      </c>
      <c r="F43" s="223">
        <f t="shared" si="15"/>
        <v>45395946</v>
      </c>
      <c r="G43" s="223">
        <f t="shared" si="15"/>
        <v>369203155</v>
      </c>
      <c r="H43" s="223">
        <f t="shared" si="15"/>
        <v>28983072</v>
      </c>
      <c r="I43" s="223">
        <f t="shared" si="15"/>
        <v>14434658</v>
      </c>
      <c r="J43" s="223">
        <f t="shared" si="15"/>
        <v>20069024</v>
      </c>
      <c r="K43" s="223">
        <f t="shared" si="15"/>
        <v>50425369</v>
      </c>
      <c r="L43" s="223">
        <f t="shared" si="15"/>
        <v>106586416</v>
      </c>
      <c r="M43" s="223">
        <f t="shared" si="15"/>
        <v>54396175</v>
      </c>
      <c r="N43" s="223">
        <f t="shared" si="15"/>
        <v>1045087812</v>
      </c>
      <c r="O43" s="223">
        <f t="shared" si="15"/>
        <v>9467738</v>
      </c>
      <c r="P43" s="223">
        <f t="shared" si="15"/>
        <v>2424009606</v>
      </c>
    </row>
    <row r="44" spans="1:18" s="15" customFormat="1" ht="15" thickTop="1">
      <c r="A44" s="80" t="s">
        <v>126</v>
      </c>
      <c r="B44" s="60"/>
      <c r="C44" s="16"/>
      <c r="D44" s="16"/>
      <c r="E44" s="16"/>
      <c r="F44" s="16"/>
      <c r="G44" s="16"/>
      <c r="H44" s="16"/>
      <c r="I44" s="16"/>
      <c r="J44" s="16"/>
      <c r="K44" s="16"/>
      <c r="L44" s="16"/>
      <c r="M44" s="16"/>
      <c r="N44" s="16"/>
      <c r="O44" s="16"/>
      <c r="P44" s="16"/>
    </row>
    <row r="45" spans="1:18" s="15" customFormat="1" ht="14.4" hidden="1">
      <c r="A45" s="60"/>
      <c r="B45" s="60"/>
      <c r="C45" s="83"/>
      <c r="D45" s="16"/>
      <c r="E45" s="16"/>
      <c r="F45" s="16"/>
      <c r="G45" s="16"/>
      <c r="H45" s="16"/>
      <c r="I45" s="16"/>
      <c r="J45" s="16"/>
      <c r="K45" s="16"/>
      <c r="L45" s="16"/>
      <c r="M45" s="16"/>
      <c r="N45" s="16"/>
      <c r="O45" s="16"/>
      <c r="P45" s="16">
        <f>'Schedule 1'!K57</f>
        <v>2424009606</v>
      </c>
      <c r="Q45" s="383"/>
    </row>
    <row r="46" spans="1:18" hidden="1">
      <c r="P46" s="6">
        <f>P45-P43</f>
        <v>0</v>
      </c>
    </row>
  </sheetData>
  <mergeCells count="9">
    <mergeCell ref="A41:B41"/>
    <mergeCell ref="A5:B5"/>
    <mergeCell ref="E5:N5"/>
    <mergeCell ref="A39:B39"/>
    <mergeCell ref="A9:B9"/>
    <mergeCell ref="A21:B21"/>
    <mergeCell ref="A28:B28"/>
    <mergeCell ref="A32:B32"/>
    <mergeCell ref="A37:B37"/>
  </mergeCells>
  <phoneticPr fontId="115"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8"/>
  <sheetViews>
    <sheetView zoomScale="70" zoomScaleNormal="70" workbookViewId="0">
      <selection activeCell="R19" sqref="R19"/>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5.109375" style="155" customWidth="1"/>
    <col min="13" max="13" width="16.44140625" style="155" bestFit="1" customWidth="1"/>
    <col min="14" max="14" width="13.88671875" style="155" bestFit="1" customWidth="1"/>
    <col min="15" max="15" width="17.6640625" style="155" customWidth="1"/>
    <col min="16" max="17" width="9.109375" style="152"/>
    <col min="18" max="18" width="10.6640625" style="152" bestFit="1" customWidth="1"/>
    <col min="19" max="16384" width="9.109375" style="152"/>
  </cols>
  <sheetData>
    <row r="1" spans="1:15" s="295" customFormat="1" ht="16.2">
      <c r="A1" s="200" t="s">
        <v>3</v>
      </c>
      <c r="B1" s="200"/>
      <c r="C1" s="200"/>
      <c r="D1" s="200"/>
      <c r="E1" s="200"/>
      <c r="F1" s="200"/>
      <c r="G1" s="200"/>
      <c r="H1" s="200"/>
      <c r="I1" s="200"/>
      <c r="J1" s="200"/>
      <c r="K1" s="200"/>
      <c r="L1" s="200"/>
      <c r="M1" s="200"/>
      <c r="N1" s="200"/>
      <c r="O1" s="200"/>
    </row>
    <row r="2" spans="1:15">
      <c r="A2" s="201" t="s">
        <v>513</v>
      </c>
      <c r="B2" s="201"/>
      <c r="C2" s="201"/>
      <c r="D2" s="201"/>
      <c r="E2" s="201"/>
      <c r="F2" s="201"/>
      <c r="G2" s="201"/>
      <c r="H2" s="201"/>
      <c r="I2" s="201"/>
      <c r="J2" s="201"/>
      <c r="K2" s="201"/>
      <c r="L2" s="201"/>
      <c r="M2" s="201"/>
      <c r="N2" s="201"/>
      <c r="O2" s="201"/>
    </row>
    <row r="3" spans="1:15">
      <c r="A3" s="151" t="str">
        <f>'Schedule 1'!A3:L3</f>
        <v>Data Through February 28, 2022</v>
      </c>
      <c r="B3" s="151"/>
      <c r="C3" s="151"/>
      <c r="D3" s="151"/>
      <c r="E3" s="151"/>
      <c r="F3" s="151"/>
      <c r="G3" s="151"/>
      <c r="H3" s="151"/>
      <c r="I3" s="151"/>
      <c r="J3" s="151"/>
      <c r="K3" s="151"/>
      <c r="L3" s="151"/>
      <c r="M3" s="151"/>
      <c r="N3" s="151"/>
      <c r="O3" s="151"/>
    </row>
    <row r="4" spans="1:15">
      <c r="A4" s="224"/>
      <c r="B4" s="296"/>
      <c r="C4" s="296"/>
      <c r="D4" s="296"/>
      <c r="E4" s="296"/>
      <c r="F4" s="296"/>
      <c r="G4" s="296"/>
      <c r="H4" s="296"/>
      <c r="I4" s="297"/>
      <c r="J4" s="297"/>
      <c r="K4" s="296"/>
      <c r="L4" s="296"/>
      <c r="M4" s="296"/>
      <c r="N4" s="296"/>
      <c r="O4" s="339"/>
    </row>
    <row r="5" spans="1:15">
      <c r="A5" s="225"/>
      <c r="B5" s="202"/>
      <c r="C5" s="204"/>
      <c r="D5" s="205"/>
      <c r="E5" s="639" t="s">
        <v>6</v>
      </c>
      <c r="F5" s="639"/>
      <c r="G5" s="639"/>
      <c r="H5" s="639"/>
      <c r="I5" s="639"/>
      <c r="J5" s="639"/>
      <c r="K5" s="639"/>
      <c r="L5" s="639"/>
      <c r="M5" s="639"/>
      <c r="N5" s="204"/>
      <c r="O5" s="205"/>
    </row>
    <row r="6" spans="1:15" ht="32.4">
      <c r="A6" s="298"/>
      <c r="B6" s="299"/>
      <c r="C6" s="208" t="s">
        <v>4</v>
      </c>
      <c r="D6" s="300" t="s">
        <v>5</v>
      </c>
      <c r="E6" s="301" t="s">
        <v>188</v>
      </c>
      <c r="F6" s="302" t="s">
        <v>353</v>
      </c>
      <c r="G6" s="302" t="s">
        <v>183</v>
      </c>
      <c r="H6" s="302" t="s">
        <v>189</v>
      </c>
      <c r="I6" s="302" t="s">
        <v>190</v>
      </c>
      <c r="J6" s="302" t="s">
        <v>295</v>
      </c>
      <c r="K6" s="110" t="s">
        <v>184</v>
      </c>
      <c r="L6" s="303" t="s">
        <v>571</v>
      </c>
      <c r="M6" s="303" t="s">
        <v>137</v>
      </c>
      <c r="N6" s="406" t="s">
        <v>138</v>
      </c>
      <c r="O6" s="213" t="s">
        <v>139</v>
      </c>
    </row>
    <row r="7" spans="1:15" ht="8.25" customHeight="1">
      <c r="A7" s="314"/>
      <c r="B7" s="314"/>
      <c r="C7" s="315"/>
      <c r="D7" s="315"/>
      <c r="E7" s="316"/>
      <c r="F7" s="316"/>
      <c r="G7" s="316"/>
      <c r="H7" s="316"/>
      <c r="I7" s="316"/>
      <c r="J7" s="316"/>
      <c r="K7" s="317"/>
      <c r="L7" s="317"/>
      <c r="M7" s="317"/>
      <c r="N7" s="317"/>
      <c r="O7" s="317"/>
    </row>
    <row r="8" spans="1:15" s="146" customFormat="1" ht="18" customHeight="1">
      <c r="A8" s="123" t="s">
        <v>22</v>
      </c>
      <c r="B8" s="123" t="s">
        <v>7</v>
      </c>
      <c r="C8" s="304">
        <v>0</v>
      </c>
      <c r="D8" s="304">
        <v>0</v>
      </c>
      <c r="E8" s="304">
        <v>0</v>
      </c>
      <c r="F8" s="304">
        <v>0</v>
      </c>
      <c r="G8" s="304">
        <v>0</v>
      </c>
      <c r="H8" s="304">
        <v>0</v>
      </c>
      <c r="I8" s="304">
        <v>0</v>
      </c>
      <c r="J8" s="304">
        <v>0</v>
      </c>
      <c r="K8" s="304">
        <v>0</v>
      </c>
      <c r="L8" s="304">
        <v>0</v>
      </c>
      <c r="M8" s="304">
        <f>SUM(E8:L8)</f>
        <v>0</v>
      </c>
      <c r="N8" s="304">
        <v>0</v>
      </c>
      <c r="O8" s="304">
        <f>SUM(C8,D8,M8,N8)</f>
        <v>0</v>
      </c>
    </row>
    <row r="9" spans="1:15" s="146" customFormat="1" ht="18" customHeight="1">
      <c r="A9" s="634" t="s">
        <v>221</v>
      </c>
      <c r="B9" s="635"/>
      <c r="C9" s="305">
        <f t="shared" ref="C9:K9" si="0">C8</f>
        <v>0</v>
      </c>
      <c r="D9" s="305">
        <f t="shared" si="0"/>
        <v>0</v>
      </c>
      <c r="E9" s="305">
        <f t="shared" si="0"/>
        <v>0</v>
      </c>
      <c r="F9" s="305">
        <f t="shared" si="0"/>
        <v>0</v>
      </c>
      <c r="G9" s="305">
        <f t="shared" si="0"/>
        <v>0</v>
      </c>
      <c r="H9" s="305">
        <f t="shared" si="0"/>
        <v>0</v>
      </c>
      <c r="I9" s="305">
        <f t="shared" si="0"/>
        <v>0</v>
      </c>
      <c r="J9" s="305">
        <f t="shared" si="0"/>
        <v>0</v>
      </c>
      <c r="K9" s="305">
        <f t="shared" si="0"/>
        <v>0</v>
      </c>
      <c r="L9" s="305"/>
      <c r="M9" s="305">
        <f>M8</f>
        <v>0</v>
      </c>
      <c r="N9" s="305">
        <f>N8</f>
        <v>0</v>
      </c>
      <c r="O9" s="305">
        <f>O8</f>
        <v>0</v>
      </c>
    </row>
    <row r="10" spans="1:15" s="146" customFormat="1" ht="18" customHeight="1">
      <c r="A10" s="123" t="s">
        <v>23</v>
      </c>
      <c r="B10" s="123" t="s">
        <v>8</v>
      </c>
      <c r="C10" s="304">
        <v>0</v>
      </c>
      <c r="D10" s="304">
        <v>0</v>
      </c>
      <c r="E10" s="304">
        <v>0</v>
      </c>
      <c r="F10" s="304">
        <v>0</v>
      </c>
      <c r="G10" s="304">
        <v>0</v>
      </c>
      <c r="H10" s="304">
        <v>0</v>
      </c>
      <c r="I10" s="304">
        <v>0</v>
      </c>
      <c r="J10" s="304">
        <v>0</v>
      </c>
      <c r="K10" s="304">
        <v>0</v>
      </c>
      <c r="L10" s="304">
        <v>0</v>
      </c>
      <c r="M10" s="304">
        <f t="shared" ref="M10:M20" si="1">SUM(E10:L10)</f>
        <v>0</v>
      </c>
      <c r="N10" s="304">
        <v>0</v>
      </c>
      <c r="O10" s="304">
        <f t="shared" ref="O10:O20" si="2">SUM(C10,D10,M10,N10)</f>
        <v>0</v>
      </c>
    </row>
    <row r="11" spans="1:15" s="146" customFormat="1" ht="18" customHeight="1">
      <c r="A11" s="123" t="s">
        <v>24</v>
      </c>
      <c r="B11" s="123" t="s">
        <v>9</v>
      </c>
      <c r="C11" s="304">
        <v>0</v>
      </c>
      <c r="D11" s="304">
        <v>0</v>
      </c>
      <c r="E11" s="304">
        <v>0</v>
      </c>
      <c r="F11" s="304">
        <v>0</v>
      </c>
      <c r="G11" s="304">
        <v>0</v>
      </c>
      <c r="H11" s="304">
        <v>0</v>
      </c>
      <c r="I11" s="304">
        <v>0</v>
      </c>
      <c r="J11" s="304">
        <v>0</v>
      </c>
      <c r="K11" s="304">
        <v>0</v>
      </c>
      <c r="L11" s="304">
        <v>0</v>
      </c>
      <c r="M11" s="304">
        <f t="shared" si="1"/>
        <v>0</v>
      </c>
      <c r="N11" s="304">
        <v>0</v>
      </c>
      <c r="O11" s="304">
        <f t="shared" si="2"/>
        <v>0</v>
      </c>
    </row>
    <row r="12" spans="1:15" s="146" customFormat="1" ht="18" customHeight="1">
      <c r="A12" s="123" t="s">
        <v>25</v>
      </c>
      <c r="B12" s="123" t="s">
        <v>159</v>
      </c>
      <c r="C12" s="304">
        <v>3574123</v>
      </c>
      <c r="D12" s="304">
        <v>0</v>
      </c>
      <c r="E12" s="304">
        <v>0</v>
      </c>
      <c r="F12" s="304">
        <v>0</v>
      </c>
      <c r="G12" s="304">
        <v>364654</v>
      </c>
      <c r="H12" s="304">
        <v>0</v>
      </c>
      <c r="I12" s="304">
        <v>0</v>
      </c>
      <c r="J12" s="304">
        <v>0</v>
      </c>
      <c r="K12" s="304">
        <v>0</v>
      </c>
      <c r="L12" s="304">
        <v>0</v>
      </c>
      <c r="M12" s="304">
        <f t="shared" si="1"/>
        <v>364654</v>
      </c>
      <c r="N12" s="304">
        <v>0</v>
      </c>
      <c r="O12" s="304">
        <f t="shared" si="2"/>
        <v>3938777</v>
      </c>
    </row>
    <row r="13" spans="1:15" s="146" customFormat="1" ht="18" customHeight="1">
      <c r="A13" s="123" t="s">
        <v>26</v>
      </c>
      <c r="B13" s="123" t="s">
        <v>160</v>
      </c>
      <c r="C13" s="304">
        <v>0</v>
      </c>
      <c r="D13" s="304">
        <v>0</v>
      </c>
      <c r="E13" s="304">
        <v>0</v>
      </c>
      <c r="F13" s="304">
        <v>0</v>
      </c>
      <c r="G13" s="304">
        <v>0</v>
      </c>
      <c r="H13" s="304">
        <v>0</v>
      </c>
      <c r="I13" s="304">
        <v>0</v>
      </c>
      <c r="J13" s="304">
        <v>0</v>
      </c>
      <c r="K13" s="304">
        <v>0</v>
      </c>
      <c r="L13" s="304">
        <v>0</v>
      </c>
      <c r="M13" s="304">
        <f t="shared" si="1"/>
        <v>0</v>
      </c>
      <c r="N13" s="304">
        <v>0</v>
      </c>
      <c r="O13" s="304">
        <f t="shared" si="2"/>
        <v>0</v>
      </c>
    </row>
    <row r="14" spans="1:15" s="146" customFormat="1" ht="18" customHeight="1">
      <c r="A14" s="123" t="s">
        <v>27</v>
      </c>
      <c r="B14" s="123" t="s">
        <v>161</v>
      </c>
      <c r="C14" s="304">
        <v>0</v>
      </c>
      <c r="D14" s="304">
        <v>0</v>
      </c>
      <c r="E14" s="304">
        <v>0</v>
      </c>
      <c r="F14" s="304">
        <v>0</v>
      </c>
      <c r="G14" s="304">
        <v>0</v>
      </c>
      <c r="H14" s="304">
        <v>0</v>
      </c>
      <c r="I14" s="304">
        <v>0</v>
      </c>
      <c r="J14" s="304">
        <v>0</v>
      </c>
      <c r="K14" s="304">
        <v>0</v>
      </c>
      <c r="L14" s="304">
        <v>0</v>
      </c>
      <c r="M14" s="304">
        <f t="shared" si="1"/>
        <v>0</v>
      </c>
      <c r="N14" s="304">
        <v>0</v>
      </c>
      <c r="O14" s="304">
        <f t="shared" si="2"/>
        <v>0</v>
      </c>
    </row>
    <row r="15" spans="1:15" s="146" customFormat="1" ht="18" customHeight="1">
      <c r="A15" s="123" t="s">
        <v>100</v>
      </c>
      <c r="B15" s="123" t="s">
        <v>11</v>
      </c>
      <c r="C15" s="304">
        <v>0</v>
      </c>
      <c r="D15" s="304">
        <v>0</v>
      </c>
      <c r="E15" s="304">
        <v>0</v>
      </c>
      <c r="F15" s="304">
        <v>0</v>
      </c>
      <c r="G15" s="304">
        <v>0</v>
      </c>
      <c r="H15" s="304">
        <v>0</v>
      </c>
      <c r="I15" s="304">
        <v>0</v>
      </c>
      <c r="J15" s="304">
        <v>0</v>
      </c>
      <c r="K15" s="304">
        <v>0</v>
      </c>
      <c r="L15" s="304">
        <v>0</v>
      </c>
      <c r="M15" s="304">
        <f t="shared" si="1"/>
        <v>0</v>
      </c>
      <c r="N15" s="304">
        <v>0</v>
      </c>
      <c r="O15" s="304">
        <f t="shared" si="2"/>
        <v>0</v>
      </c>
    </row>
    <row r="16" spans="1:15" s="146" customFormat="1" ht="18" customHeight="1">
      <c r="A16" s="123" t="s">
        <v>101</v>
      </c>
      <c r="B16" s="123" t="s">
        <v>162</v>
      </c>
      <c r="C16" s="304">
        <v>0</v>
      </c>
      <c r="D16" s="304">
        <v>0</v>
      </c>
      <c r="E16" s="304">
        <v>0</v>
      </c>
      <c r="F16" s="304">
        <v>0</v>
      </c>
      <c r="G16" s="304">
        <v>0</v>
      </c>
      <c r="H16" s="304">
        <v>0</v>
      </c>
      <c r="I16" s="304">
        <v>0</v>
      </c>
      <c r="J16" s="304">
        <v>0</v>
      </c>
      <c r="K16" s="304">
        <v>0</v>
      </c>
      <c r="L16" s="304">
        <v>0</v>
      </c>
      <c r="M16" s="304">
        <f t="shared" si="1"/>
        <v>0</v>
      </c>
      <c r="N16" s="304">
        <v>0</v>
      </c>
      <c r="O16" s="304">
        <f t="shared" si="2"/>
        <v>0</v>
      </c>
    </row>
    <row r="17" spans="1:15" s="146" customFormat="1" ht="18" customHeight="1">
      <c r="A17" s="123" t="s">
        <v>102</v>
      </c>
      <c r="B17" s="123" t="s">
        <v>163</v>
      </c>
      <c r="C17" s="304">
        <v>0</v>
      </c>
      <c r="D17" s="304">
        <v>0</v>
      </c>
      <c r="E17" s="304">
        <v>0</v>
      </c>
      <c r="F17" s="304">
        <v>0</v>
      </c>
      <c r="G17" s="304">
        <v>0</v>
      </c>
      <c r="H17" s="304">
        <v>0</v>
      </c>
      <c r="I17" s="304">
        <v>0</v>
      </c>
      <c r="J17" s="304">
        <v>0</v>
      </c>
      <c r="K17" s="304">
        <v>0</v>
      </c>
      <c r="L17" s="304">
        <v>0</v>
      </c>
      <c r="M17" s="304">
        <f t="shared" si="1"/>
        <v>0</v>
      </c>
      <c r="N17" s="304">
        <v>0</v>
      </c>
      <c r="O17" s="304">
        <f t="shared" si="2"/>
        <v>0</v>
      </c>
    </row>
    <row r="18" spans="1:15" s="146" customFormat="1" ht="18" customHeight="1">
      <c r="A18" s="123" t="s">
        <v>103</v>
      </c>
      <c r="B18" s="123" t="s">
        <v>164</v>
      </c>
      <c r="C18" s="304">
        <v>-40030219</v>
      </c>
      <c r="D18" s="304">
        <v>0</v>
      </c>
      <c r="E18" s="304">
        <v>0</v>
      </c>
      <c r="F18" s="304">
        <v>0</v>
      </c>
      <c r="G18" s="304">
        <v>30682112</v>
      </c>
      <c r="H18" s="304">
        <v>0</v>
      </c>
      <c r="I18" s="304">
        <v>0</v>
      </c>
      <c r="J18" s="304">
        <v>0</v>
      </c>
      <c r="K18" s="304">
        <v>0</v>
      </c>
      <c r="L18" s="304">
        <v>0</v>
      </c>
      <c r="M18" s="304">
        <f t="shared" si="1"/>
        <v>30682112</v>
      </c>
      <c r="N18" s="304">
        <v>0</v>
      </c>
      <c r="O18" s="304">
        <f t="shared" si="2"/>
        <v>-9348107</v>
      </c>
    </row>
    <row r="19" spans="1:15" s="146" customFormat="1" ht="18" customHeight="1">
      <c r="A19" s="123" t="s">
        <v>104</v>
      </c>
      <c r="B19" s="123" t="s">
        <v>165</v>
      </c>
      <c r="C19" s="304">
        <v>21196835</v>
      </c>
      <c r="D19" s="304">
        <v>0</v>
      </c>
      <c r="E19" s="304">
        <v>0</v>
      </c>
      <c r="F19" s="304">
        <v>0</v>
      </c>
      <c r="G19" s="304">
        <v>-8443524</v>
      </c>
      <c r="H19" s="304">
        <v>0</v>
      </c>
      <c r="I19" s="304">
        <v>0</v>
      </c>
      <c r="J19" s="304">
        <v>0</v>
      </c>
      <c r="K19" s="304">
        <v>0</v>
      </c>
      <c r="L19" s="304">
        <v>0</v>
      </c>
      <c r="M19" s="304">
        <f t="shared" si="1"/>
        <v>-8443524</v>
      </c>
      <c r="N19" s="304">
        <v>0</v>
      </c>
      <c r="O19" s="304">
        <f t="shared" si="2"/>
        <v>12753311</v>
      </c>
    </row>
    <row r="20" spans="1:15" s="146" customFormat="1" ht="18" customHeight="1">
      <c r="A20" s="123" t="s">
        <v>105</v>
      </c>
      <c r="B20" s="123" t="s">
        <v>166</v>
      </c>
      <c r="C20" s="304">
        <v>-680143</v>
      </c>
      <c r="D20" s="304">
        <v>0</v>
      </c>
      <c r="E20" s="304">
        <v>0</v>
      </c>
      <c r="F20" s="304">
        <v>0</v>
      </c>
      <c r="G20" s="304">
        <v>0</v>
      </c>
      <c r="H20" s="304">
        <v>0</v>
      </c>
      <c r="I20" s="304">
        <v>0</v>
      </c>
      <c r="J20" s="304">
        <v>0</v>
      </c>
      <c r="K20" s="304">
        <v>0</v>
      </c>
      <c r="L20" s="304">
        <v>0</v>
      </c>
      <c r="M20" s="304">
        <f t="shared" si="1"/>
        <v>0</v>
      </c>
      <c r="N20" s="304">
        <v>0</v>
      </c>
      <c r="O20" s="304">
        <f t="shared" si="2"/>
        <v>-680143</v>
      </c>
    </row>
    <row r="21" spans="1:15" s="146" customFormat="1" ht="18" customHeight="1">
      <c r="A21" s="640" t="s">
        <v>230</v>
      </c>
      <c r="B21" s="641"/>
      <c r="C21" s="305">
        <f t="shared" ref="C21:O21" si="3">SUM(C10:C20)</f>
        <v>-15939404</v>
      </c>
      <c r="D21" s="305">
        <f t="shared" si="3"/>
        <v>0</v>
      </c>
      <c r="E21" s="305">
        <f t="shared" si="3"/>
        <v>0</v>
      </c>
      <c r="F21" s="305">
        <f t="shared" si="3"/>
        <v>0</v>
      </c>
      <c r="G21" s="305">
        <f t="shared" si="3"/>
        <v>22603242</v>
      </c>
      <c r="H21" s="305">
        <f t="shared" si="3"/>
        <v>0</v>
      </c>
      <c r="I21" s="305">
        <f t="shared" si="3"/>
        <v>0</v>
      </c>
      <c r="J21" s="305">
        <f t="shared" si="3"/>
        <v>0</v>
      </c>
      <c r="K21" s="305">
        <f t="shared" si="3"/>
        <v>0</v>
      </c>
      <c r="L21" s="305">
        <f t="shared" si="3"/>
        <v>0</v>
      </c>
      <c r="M21" s="305">
        <f t="shared" si="3"/>
        <v>22603242</v>
      </c>
      <c r="N21" s="305">
        <f t="shared" si="3"/>
        <v>0</v>
      </c>
      <c r="O21" s="305">
        <f t="shared" si="3"/>
        <v>6663838</v>
      </c>
    </row>
    <row r="22" spans="1:15" s="146" customFormat="1" ht="18" customHeight="1">
      <c r="A22" s="123" t="s">
        <v>28</v>
      </c>
      <c r="B22" s="123" t="s">
        <v>14</v>
      </c>
      <c r="C22" s="304">
        <v>0</v>
      </c>
      <c r="D22" s="304">
        <v>0</v>
      </c>
      <c r="E22" s="304">
        <v>0</v>
      </c>
      <c r="F22" s="304">
        <v>0</v>
      </c>
      <c r="G22" s="304">
        <v>0</v>
      </c>
      <c r="H22" s="304">
        <v>0</v>
      </c>
      <c r="I22" s="304">
        <v>0</v>
      </c>
      <c r="J22" s="304">
        <v>0</v>
      </c>
      <c r="K22" s="304">
        <v>0</v>
      </c>
      <c r="L22" s="304">
        <v>0</v>
      </c>
      <c r="M22" s="304">
        <f t="shared" ref="M22:M27" si="4">SUM(E22:L22)</f>
        <v>0</v>
      </c>
      <c r="N22" s="304">
        <v>0</v>
      </c>
      <c r="O22" s="304">
        <f t="shared" ref="O22:O27" si="5">SUM(C22,D22,M22,N22)</f>
        <v>0</v>
      </c>
    </row>
    <row r="23" spans="1:15" s="146" customFormat="1" ht="18" customHeight="1">
      <c r="A23" s="123" t="s">
        <v>106</v>
      </c>
      <c r="B23" s="123" t="s">
        <v>15</v>
      </c>
      <c r="C23" s="304">
        <v>0</v>
      </c>
      <c r="D23" s="304">
        <v>0</v>
      </c>
      <c r="E23" s="304">
        <v>0</v>
      </c>
      <c r="F23" s="304">
        <v>0</v>
      </c>
      <c r="G23" s="304">
        <v>0</v>
      </c>
      <c r="H23" s="304">
        <v>0</v>
      </c>
      <c r="I23" s="304">
        <v>0</v>
      </c>
      <c r="J23" s="304">
        <v>0</v>
      </c>
      <c r="K23" s="304">
        <v>0</v>
      </c>
      <c r="L23" s="304">
        <v>0</v>
      </c>
      <c r="M23" s="304">
        <f t="shared" si="4"/>
        <v>0</v>
      </c>
      <c r="N23" s="304">
        <v>0</v>
      </c>
      <c r="O23" s="304">
        <f t="shared" si="5"/>
        <v>0</v>
      </c>
    </row>
    <row r="24" spans="1:15" s="146" customFormat="1" ht="18" customHeight="1">
      <c r="A24" s="123" t="s">
        <v>107</v>
      </c>
      <c r="B24" s="123" t="s">
        <v>16</v>
      </c>
      <c r="C24" s="304">
        <v>0</v>
      </c>
      <c r="D24" s="304">
        <v>0</v>
      </c>
      <c r="E24" s="304">
        <v>0</v>
      </c>
      <c r="F24" s="304">
        <v>0</v>
      </c>
      <c r="G24" s="304">
        <v>0</v>
      </c>
      <c r="H24" s="304">
        <v>0</v>
      </c>
      <c r="I24" s="304">
        <v>0</v>
      </c>
      <c r="J24" s="304">
        <v>0</v>
      </c>
      <c r="K24" s="304">
        <v>0</v>
      </c>
      <c r="L24" s="304">
        <v>0</v>
      </c>
      <c r="M24" s="304">
        <f t="shared" si="4"/>
        <v>0</v>
      </c>
      <c r="N24" s="304">
        <v>0</v>
      </c>
      <c r="O24" s="304">
        <f t="shared" si="5"/>
        <v>0</v>
      </c>
    </row>
    <row r="25" spans="1:15" s="146" customFormat="1" ht="18" customHeight="1">
      <c r="A25" s="123" t="s">
        <v>93</v>
      </c>
      <c r="B25" s="123" t="s">
        <v>135</v>
      </c>
      <c r="C25" s="304">
        <v>0</v>
      </c>
      <c r="D25" s="304">
        <v>0</v>
      </c>
      <c r="E25" s="304">
        <v>0</v>
      </c>
      <c r="F25" s="304">
        <v>0</v>
      </c>
      <c r="G25" s="304">
        <v>0</v>
      </c>
      <c r="H25" s="304">
        <v>0</v>
      </c>
      <c r="I25" s="304">
        <v>0</v>
      </c>
      <c r="J25" s="304">
        <v>0</v>
      </c>
      <c r="K25" s="304">
        <v>0</v>
      </c>
      <c r="L25" s="304">
        <v>0</v>
      </c>
      <c r="M25" s="304">
        <f t="shared" si="4"/>
        <v>0</v>
      </c>
      <c r="N25" s="304">
        <v>0</v>
      </c>
      <c r="O25" s="304">
        <f t="shared" si="5"/>
        <v>0</v>
      </c>
    </row>
    <row r="26" spans="1:15" s="146" customFormat="1" ht="18" customHeight="1">
      <c r="A26" s="123" t="s">
        <v>94</v>
      </c>
      <c r="B26" s="123" t="s">
        <v>290</v>
      </c>
      <c r="C26" s="304">
        <v>0</v>
      </c>
      <c r="D26" s="304">
        <v>0</v>
      </c>
      <c r="E26" s="304">
        <v>0</v>
      </c>
      <c r="F26" s="304">
        <v>0</v>
      </c>
      <c r="G26" s="304">
        <v>0</v>
      </c>
      <c r="H26" s="304">
        <v>0</v>
      </c>
      <c r="I26" s="304">
        <v>0</v>
      </c>
      <c r="J26" s="304">
        <v>0</v>
      </c>
      <c r="K26" s="304">
        <v>0</v>
      </c>
      <c r="L26" s="304">
        <v>0</v>
      </c>
      <c r="M26" s="304">
        <f t="shared" si="4"/>
        <v>0</v>
      </c>
      <c r="N26" s="304">
        <v>0</v>
      </c>
      <c r="O26" s="304">
        <f t="shared" si="5"/>
        <v>0</v>
      </c>
    </row>
    <row r="27" spans="1:15" s="146" customFormat="1" ht="18" customHeight="1">
      <c r="A27" s="123" t="s">
        <v>108</v>
      </c>
      <c r="B27" s="123" t="s">
        <v>136</v>
      </c>
      <c r="C27" s="304">
        <v>0</v>
      </c>
      <c r="D27" s="304">
        <v>0</v>
      </c>
      <c r="E27" s="304">
        <v>0</v>
      </c>
      <c r="F27" s="304">
        <v>0</v>
      </c>
      <c r="G27" s="304">
        <v>0</v>
      </c>
      <c r="H27" s="304">
        <v>0</v>
      </c>
      <c r="I27" s="304">
        <v>0</v>
      </c>
      <c r="J27" s="304">
        <v>0</v>
      </c>
      <c r="K27" s="304">
        <v>0</v>
      </c>
      <c r="L27" s="304">
        <v>0</v>
      </c>
      <c r="M27" s="304">
        <f t="shared" si="4"/>
        <v>0</v>
      </c>
      <c r="N27" s="304">
        <v>0</v>
      </c>
      <c r="O27" s="304">
        <f t="shared" si="5"/>
        <v>0</v>
      </c>
    </row>
    <row r="28" spans="1:15" s="146" customFormat="1" ht="18" customHeight="1">
      <c r="A28" s="640" t="s">
        <v>231</v>
      </c>
      <c r="B28" s="641"/>
      <c r="C28" s="305">
        <f t="shared" ref="C28:L28" si="6">SUM(C22:C27)</f>
        <v>0</v>
      </c>
      <c r="D28" s="305">
        <f t="shared" si="6"/>
        <v>0</v>
      </c>
      <c r="E28" s="305">
        <f t="shared" si="6"/>
        <v>0</v>
      </c>
      <c r="F28" s="305">
        <f t="shared" si="6"/>
        <v>0</v>
      </c>
      <c r="G28" s="305">
        <f t="shared" si="6"/>
        <v>0</v>
      </c>
      <c r="H28" s="305">
        <f t="shared" si="6"/>
        <v>0</v>
      </c>
      <c r="I28" s="305">
        <f t="shared" si="6"/>
        <v>0</v>
      </c>
      <c r="J28" s="305">
        <f t="shared" si="6"/>
        <v>0</v>
      </c>
      <c r="K28" s="305">
        <f t="shared" si="6"/>
        <v>0</v>
      </c>
      <c r="L28" s="305">
        <f t="shared" si="6"/>
        <v>0</v>
      </c>
      <c r="M28" s="305">
        <f>SUM(M22:M27)</f>
        <v>0</v>
      </c>
      <c r="N28" s="305">
        <f>SUM(N22:N27)</f>
        <v>0</v>
      </c>
      <c r="O28" s="305">
        <f>SUM(O22:O27)</f>
        <v>0</v>
      </c>
    </row>
    <row r="29" spans="1:15" s="146" customFormat="1" ht="18" customHeight="1">
      <c r="A29" s="123" t="s">
        <v>95</v>
      </c>
      <c r="B29" s="123" t="s">
        <v>17</v>
      </c>
      <c r="C29" s="304">
        <v>0</v>
      </c>
      <c r="D29" s="304">
        <v>0</v>
      </c>
      <c r="E29" s="304">
        <v>0</v>
      </c>
      <c r="F29" s="304">
        <v>0</v>
      </c>
      <c r="G29" s="304">
        <v>0</v>
      </c>
      <c r="H29" s="304">
        <v>0</v>
      </c>
      <c r="I29" s="304">
        <v>0</v>
      </c>
      <c r="J29" s="304">
        <v>0</v>
      </c>
      <c r="K29" s="304">
        <v>0</v>
      </c>
      <c r="L29" s="304">
        <v>0</v>
      </c>
      <c r="M29" s="304">
        <f t="shared" ref="M29:M31" si="7">SUM(E29:L29)</f>
        <v>0</v>
      </c>
      <c r="N29" s="304">
        <v>0</v>
      </c>
      <c r="O29" s="304">
        <f t="shared" ref="O29:O38" si="8">SUM(C29,D29,M29,N29)</f>
        <v>0</v>
      </c>
    </row>
    <row r="30" spans="1:15" s="146" customFormat="1" ht="18" customHeight="1">
      <c r="A30" s="123" t="s">
        <v>96</v>
      </c>
      <c r="B30" s="123" t="s">
        <v>109</v>
      </c>
      <c r="C30" s="304">
        <v>0</v>
      </c>
      <c r="D30" s="304">
        <v>0</v>
      </c>
      <c r="E30" s="304">
        <v>0</v>
      </c>
      <c r="F30" s="304">
        <v>0</v>
      </c>
      <c r="G30" s="304">
        <v>0</v>
      </c>
      <c r="H30" s="304">
        <v>0</v>
      </c>
      <c r="I30" s="304">
        <v>0</v>
      </c>
      <c r="J30" s="304">
        <v>0</v>
      </c>
      <c r="K30" s="304">
        <v>0</v>
      </c>
      <c r="L30" s="304">
        <v>0</v>
      </c>
      <c r="M30" s="304">
        <f t="shared" si="7"/>
        <v>0</v>
      </c>
      <c r="N30" s="304">
        <v>0</v>
      </c>
      <c r="O30" s="304">
        <f t="shared" si="8"/>
        <v>0</v>
      </c>
    </row>
    <row r="31" spans="1:15" s="146" customFormat="1" ht="18" customHeight="1">
      <c r="A31" s="123" t="s">
        <v>97</v>
      </c>
      <c r="B31" s="113" t="s">
        <v>168</v>
      </c>
      <c r="C31" s="304">
        <v>0</v>
      </c>
      <c r="D31" s="304">
        <v>0</v>
      </c>
      <c r="E31" s="304">
        <v>0</v>
      </c>
      <c r="F31" s="304">
        <v>0</v>
      </c>
      <c r="G31" s="304">
        <v>0</v>
      </c>
      <c r="H31" s="304">
        <v>0</v>
      </c>
      <c r="I31" s="304">
        <v>0</v>
      </c>
      <c r="J31" s="304">
        <v>0</v>
      </c>
      <c r="K31" s="304">
        <v>0</v>
      </c>
      <c r="L31" s="304">
        <v>0</v>
      </c>
      <c r="M31" s="304">
        <f t="shared" si="7"/>
        <v>0</v>
      </c>
      <c r="N31" s="304">
        <v>0</v>
      </c>
      <c r="O31" s="304">
        <f t="shared" si="8"/>
        <v>0</v>
      </c>
    </row>
    <row r="32" spans="1:15" s="306" customFormat="1" ht="18" customHeight="1">
      <c r="A32" s="640" t="s">
        <v>232</v>
      </c>
      <c r="B32" s="641"/>
      <c r="C32" s="305">
        <f t="shared" ref="C32:L32" si="9">SUM(C29:C31)</f>
        <v>0</v>
      </c>
      <c r="D32" s="305">
        <f t="shared" si="9"/>
        <v>0</v>
      </c>
      <c r="E32" s="305">
        <f t="shared" si="9"/>
        <v>0</v>
      </c>
      <c r="F32" s="305">
        <f t="shared" si="9"/>
        <v>0</v>
      </c>
      <c r="G32" s="305">
        <f t="shared" si="9"/>
        <v>0</v>
      </c>
      <c r="H32" s="305">
        <f t="shared" si="9"/>
        <v>0</v>
      </c>
      <c r="I32" s="305">
        <f t="shared" si="9"/>
        <v>0</v>
      </c>
      <c r="J32" s="305">
        <f t="shared" si="9"/>
        <v>0</v>
      </c>
      <c r="K32" s="305">
        <f t="shared" si="9"/>
        <v>0</v>
      </c>
      <c r="L32" s="305">
        <f t="shared" si="9"/>
        <v>0</v>
      </c>
      <c r="M32" s="305">
        <f>SUM(M29:M31)</f>
        <v>0</v>
      </c>
      <c r="N32" s="305">
        <f>SUM(N29:N31)</f>
        <v>0</v>
      </c>
      <c r="O32" s="305">
        <f>SUM(O29:O31)</f>
        <v>0</v>
      </c>
    </row>
    <row r="33" spans="1:15" s="306" customFormat="1" ht="18" customHeight="1">
      <c r="A33" s="136" t="s">
        <v>98</v>
      </c>
      <c r="B33" s="307" t="s">
        <v>18</v>
      </c>
      <c r="C33" s="304">
        <v>0</v>
      </c>
      <c r="D33" s="304">
        <v>0</v>
      </c>
      <c r="E33" s="304">
        <v>0</v>
      </c>
      <c r="F33" s="304">
        <v>0</v>
      </c>
      <c r="G33" s="304">
        <v>0</v>
      </c>
      <c r="H33" s="304">
        <v>0</v>
      </c>
      <c r="I33" s="304">
        <v>0</v>
      </c>
      <c r="J33" s="304">
        <v>0</v>
      </c>
      <c r="K33" s="304">
        <v>0</v>
      </c>
      <c r="L33" s="304">
        <v>0</v>
      </c>
      <c r="M33" s="304">
        <f t="shared" ref="M33:M36" si="10">SUM(E33:L33)</f>
        <v>0</v>
      </c>
      <c r="N33" s="304">
        <v>0</v>
      </c>
      <c r="O33" s="304">
        <f t="shared" si="8"/>
        <v>0</v>
      </c>
    </row>
    <row r="34" spans="1:15" s="306" customFormat="1" ht="18" customHeight="1">
      <c r="A34" s="136" t="s">
        <v>252</v>
      </c>
      <c r="B34" s="307" t="s">
        <v>19</v>
      </c>
      <c r="C34" s="304">
        <v>0</v>
      </c>
      <c r="D34" s="304">
        <v>0</v>
      </c>
      <c r="E34" s="304">
        <v>0</v>
      </c>
      <c r="F34" s="304">
        <v>0</v>
      </c>
      <c r="G34" s="304">
        <v>0</v>
      </c>
      <c r="H34" s="304">
        <v>0</v>
      </c>
      <c r="I34" s="304">
        <v>0</v>
      </c>
      <c r="J34" s="304">
        <v>0</v>
      </c>
      <c r="K34" s="304">
        <v>0</v>
      </c>
      <c r="L34" s="304">
        <v>0</v>
      </c>
      <c r="M34" s="304">
        <f t="shared" si="10"/>
        <v>0</v>
      </c>
      <c r="N34" s="304">
        <v>0</v>
      </c>
      <c r="O34" s="304">
        <f>SUM(C34,D34,M34,N34)</f>
        <v>0</v>
      </c>
    </row>
    <row r="35" spans="1:15" s="306" customFormat="1" ht="18" customHeight="1">
      <c r="A35" s="136" t="s">
        <v>253</v>
      </c>
      <c r="B35" s="307" t="s">
        <v>20</v>
      </c>
      <c r="C35" s="304">
        <v>0</v>
      </c>
      <c r="D35" s="304">
        <v>0</v>
      </c>
      <c r="E35" s="304">
        <v>0</v>
      </c>
      <c r="F35" s="304">
        <v>0</v>
      </c>
      <c r="G35" s="304">
        <v>0</v>
      </c>
      <c r="H35" s="304">
        <v>0</v>
      </c>
      <c r="I35" s="304">
        <v>0</v>
      </c>
      <c r="J35" s="304">
        <v>0</v>
      </c>
      <c r="K35" s="304">
        <v>0</v>
      </c>
      <c r="L35" s="304">
        <v>0</v>
      </c>
      <c r="M35" s="304">
        <f t="shared" si="10"/>
        <v>0</v>
      </c>
      <c r="N35" s="304">
        <v>0</v>
      </c>
      <c r="O35" s="304">
        <f>SUM(C35,D35,M35,N35)</f>
        <v>0</v>
      </c>
    </row>
    <row r="36" spans="1:15" s="306" customFormat="1" ht="18" customHeight="1">
      <c r="A36" s="136" t="s">
        <v>254</v>
      </c>
      <c r="B36" s="307" t="s">
        <v>21</v>
      </c>
      <c r="C36" s="304">
        <v>0</v>
      </c>
      <c r="D36" s="304">
        <v>0</v>
      </c>
      <c r="E36" s="304">
        <v>0</v>
      </c>
      <c r="F36" s="304">
        <v>0</v>
      </c>
      <c r="G36" s="304">
        <v>0</v>
      </c>
      <c r="H36" s="304">
        <v>0</v>
      </c>
      <c r="I36" s="304">
        <v>0</v>
      </c>
      <c r="J36" s="304">
        <v>0</v>
      </c>
      <c r="K36" s="304">
        <v>0</v>
      </c>
      <c r="L36" s="304">
        <v>0</v>
      </c>
      <c r="M36" s="304">
        <f t="shared" si="10"/>
        <v>0</v>
      </c>
      <c r="N36" s="304">
        <v>0</v>
      </c>
      <c r="O36" s="304">
        <f>SUM(C36,D36,M36,N36)</f>
        <v>0</v>
      </c>
    </row>
    <row r="37" spans="1:15" s="306" customFormat="1" ht="18" customHeight="1">
      <c r="A37" s="634" t="s">
        <v>352</v>
      </c>
      <c r="B37" s="635"/>
      <c r="C37" s="305">
        <f t="shared" ref="C37:L37" si="11">SUM(C33:C36)</f>
        <v>0</v>
      </c>
      <c r="D37" s="305">
        <f t="shared" si="11"/>
        <v>0</v>
      </c>
      <c r="E37" s="305">
        <f t="shared" si="11"/>
        <v>0</v>
      </c>
      <c r="F37" s="305">
        <f t="shared" si="11"/>
        <v>0</v>
      </c>
      <c r="G37" s="305">
        <f t="shared" si="11"/>
        <v>0</v>
      </c>
      <c r="H37" s="305">
        <f t="shared" si="11"/>
        <v>0</v>
      </c>
      <c r="I37" s="305">
        <f t="shared" si="11"/>
        <v>0</v>
      </c>
      <c r="J37" s="305">
        <f t="shared" si="11"/>
        <v>0</v>
      </c>
      <c r="K37" s="305">
        <f t="shared" si="11"/>
        <v>0</v>
      </c>
      <c r="L37" s="305">
        <f t="shared" si="11"/>
        <v>0</v>
      </c>
      <c r="M37" s="305">
        <f>SUM(M33:M36)</f>
        <v>0</v>
      </c>
      <c r="N37" s="305">
        <f>SUM(N33:N36)</f>
        <v>0</v>
      </c>
      <c r="O37" s="305">
        <f>SUM(O33:O36)</f>
        <v>0</v>
      </c>
    </row>
    <row r="38" spans="1:15" s="146" customFormat="1" ht="18" customHeight="1">
      <c r="A38" s="122" t="s">
        <v>99</v>
      </c>
      <c r="B38" s="125" t="s">
        <v>110</v>
      </c>
      <c r="C38" s="304">
        <v>0</v>
      </c>
      <c r="D38" s="304">
        <v>0</v>
      </c>
      <c r="E38" s="304">
        <v>0</v>
      </c>
      <c r="F38" s="304">
        <v>0</v>
      </c>
      <c r="G38" s="304">
        <v>0</v>
      </c>
      <c r="H38" s="304">
        <v>0</v>
      </c>
      <c r="I38" s="304">
        <v>0</v>
      </c>
      <c r="J38" s="304">
        <v>0</v>
      </c>
      <c r="K38" s="304">
        <v>0</v>
      </c>
      <c r="L38" s="304">
        <v>0</v>
      </c>
      <c r="M38" s="304">
        <f>SUM(E38:L38)</f>
        <v>0</v>
      </c>
      <c r="N38" s="304">
        <v>0</v>
      </c>
      <c r="O38" s="304">
        <f t="shared" si="8"/>
        <v>0</v>
      </c>
    </row>
    <row r="39" spans="1:15" s="306" customFormat="1" ht="18" customHeight="1">
      <c r="A39" s="640" t="s">
        <v>255</v>
      </c>
      <c r="B39" s="641"/>
      <c r="C39" s="305">
        <f t="shared" ref="C39:O39" si="12">SUM(C38:C38)</f>
        <v>0</v>
      </c>
      <c r="D39" s="305">
        <f t="shared" si="12"/>
        <v>0</v>
      </c>
      <c r="E39" s="305">
        <f t="shared" si="12"/>
        <v>0</v>
      </c>
      <c r="F39" s="305">
        <f t="shared" si="12"/>
        <v>0</v>
      </c>
      <c r="G39" s="305">
        <f t="shared" si="12"/>
        <v>0</v>
      </c>
      <c r="H39" s="305">
        <f t="shared" si="12"/>
        <v>0</v>
      </c>
      <c r="I39" s="305">
        <f t="shared" si="12"/>
        <v>0</v>
      </c>
      <c r="J39" s="305">
        <f t="shared" si="12"/>
        <v>0</v>
      </c>
      <c r="K39" s="305">
        <f t="shared" si="12"/>
        <v>0</v>
      </c>
      <c r="L39" s="305"/>
      <c r="M39" s="305">
        <f t="shared" si="12"/>
        <v>0</v>
      </c>
      <c r="N39" s="305">
        <f t="shared" si="12"/>
        <v>0</v>
      </c>
      <c r="O39" s="305">
        <f t="shared" si="12"/>
        <v>0</v>
      </c>
    </row>
    <row r="40" spans="1:15" s="306" customFormat="1" ht="18" customHeight="1">
      <c r="A40" s="463"/>
      <c r="B40" s="463"/>
      <c r="C40" s="308"/>
      <c r="D40" s="308"/>
      <c r="E40" s="308"/>
      <c r="F40" s="308"/>
      <c r="G40" s="308"/>
      <c r="H40" s="308"/>
      <c r="I40" s="308"/>
      <c r="J40" s="308"/>
      <c r="K40" s="308"/>
      <c r="L40" s="308"/>
      <c r="M40" s="308"/>
      <c r="N40" s="308"/>
      <c r="O40" s="308"/>
    </row>
    <row r="41" spans="1:15" s="306" customFormat="1" ht="18" customHeight="1">
      <c r="A41" s="122" t="s">
        <v>524</v>
      </c>
      <c r="B41" s="125" t="s">
        <v>525</v>
      </c>
      <c r="C41" s="304">
        <v>0</v>
      </c>
      <c r="D41" s="304">
        <v>0</v>
      </c>
      <c r="E41" s="304">
        <v>0</v>
      </c>
      <c r="F41" s="304">
        <v>0</v>
      </c>
      <c r="G41" s="304">
        <v>0</v>
      </c>
      <c r="H41" s="304">
        <v>0</v>
      </c>
      <c r="I41" s="304">
        <v>0</v>
      </c>
      <c r="J41" s="304">
        <v>0</v>
      </c>
      <c r="K41" s="304">
        <v>0</v>
      </c>
      <c r="L41" s="304">
        <v>0</v>
      </c>
      <c r="M41" s="304">
        <f>SUM(E41:L41)</f>
        <v>0</v>
      </c>
      <c r="N41" s="304">
        <v>0</v>
      </c>
      <c r="O41" s="304">
        <f t="shared" ref="O41" si="13">SUM(C41,D41,M41,N41)</f>
        <v>0</v>
      </c>
    </row>
    <row r="42" spans="1:15" s="306" customFormat="1" ht="39" customHeight="1">
      <c r="A42" s="640" t="s">
        <v>572</v>
      </c>
      <c r="B42" s="641"/>
      <c r="C42" s="305">
        <f t="shared" ref="C42:K42" si="14">SUM(C41:C41)</f>
        <v>0</v>
      </c>
      <c r="D42" s="305">
        <f t="shared" si="14"/>
        <v>0</v>
      </c>
      <c r="E42" s="305">
        <f t="shared" si="14"/>
        <v>0</v>
      </c>
      <c r="F42" s="305">
        <f t="shared" si="14"/>
        <v>0</v>
      </c>
      <c r="G42" s="305">
        <f t="shared" si="14"/>
        <v>0</v>
      </c>
      <c r="H42" s="305">
        <f t="shared" si="14"/>
        <v>0</v>
      </c>
      <c r="I42" s="305">
        <f t="shared" si="14"/>
        <v>0</v>
      </c>
      <c r="J42" s="305">
        <f t="shared" si="14"/>
        <v>0</v>
      </c>
      <c r="K42" s="305">
        <f t="shared" si="14"/>
        <v>0</v>
      </c>
      <c r="L42" s="305"/>
      <c r="M42" s="305">
        <f t="shared" ref="M42:O42" si="15">SUM(M41:M41)</f>
        <v>0</v>
      </c>
      <c r="N42" s="305">
        <f t="shared" si="15"/>
        <v>0</v>
      </c>
      <c r="O42" s="305">
        <f t="shared" si="15"/>
        <v>0</v>
      </c>
    </row>
    <row r="43" spans="1:15" s="306" customFormat="1" ht="18" customHeight="1" thickBot="1">
      <c r="A43" s="309" t="s">
        <v>233</v>
      </c>
      <c r="B43" s="309"/>
      <c r="C43" s="310">
        <f t="shared" ref="C43:O43" si="16">SUM(C39,C37,C32,C28,C21,C9,)</f>
        <v>-15939404</v>
      </c>
      <c r="D43" s="310">
        <f t="shared" si="16"/>
        <v>0</v>
      </c>
      <c r="E43" s="310">
        <f t="shared" si="16"/>
        <v>0</v>
      </c>
      <c r="F43" s="310">
        <f t="shared" si="16"/>
        <v>0</v>
      </c>
      <c r="G43" s="310">
        <f t="shared" si="16"/>
        <v>22603242</v>
      </c>
      <c r="H43" s="310">
        <f t="shared" si="16"/>
        <v>0</v>
      </c>
      <c r="I43" s="310">
        <f t="shared" si="16"/>
        <v>0</v>
      </c>
      <c r="J43" s="310">
        <f t="shared" si="16"/>
        <v>0</v>
      </c>
      <c r="K43" s="310">
        <f t="shared" si="16"/>
        <v>0</v>
      </c>
      <c r="L43" s="310">
        <f t="shared" si="16"/>
        <v>0</v>
      </c>
      <c r="M43" s="310">
        <f t="shared" si="16"/>
        <v>22603242</v>
      </c>
      <c r="N43" s="310">
        <f t="shared" si="16"/>
        <v>0</v>
      </c>
      <c r="O43" s="310">
        <f t="shared" si="16"/>
        <v>6663838</v>
      </c>
    </row>
    <row r="44" spans="1:15" ht="16.2" thickTop="1">
      <c r="A44" s="295"/>
      <c r="B44" s="295"/>
    </row>
    <row r="45" spans="1:15">
      <c r="C45" s="385"/>
      <c r="O45" s="385"/>
    </row>
    <row r="46" spans="1:15">
      <c r="C46" s="385"/>
      <c r="O46" s="385"/>
    </row>
    <row r="47" spans="1:15">
      <c r="C47" s="385"/>
    </row>
    <row r="48" spans="1:15">
      <c r="C48" s="385"/>
      <c r="O48" s="385"/>
    </row>
    <row r="51" spans="1:14">
      <c r="A51" s="295"/>
      <c r="B51" s="295"/>
    </row>
    <row r="52" spans="1:14">
      <c r="A52" s="295"/>
      <c r="B52" s="295"/>
    </row>
    <row r="53" spans="1:14">
      <c r="A53" s="295"/>
      <c r="B53" s="295"/>
    </row>
    <row r="58" spans="1:14">
      <c r="N58" s="171"/>
    </row>
  </sheetData>
  <mergeCells count="8">
    <mergeCell ref="A42:B42"/>
    <mergeCell ref="E5:M5"/>
    <mergeCell ref="A9:B9"/>
    <mergeCell ref="A37:B37"/>
    <mergeCell ref="A39:B39"/>
    <mergeCell ref="A21:B21"/>
    <mergeCell ref="A32:B32"/>
    <mergeCell ref="A28:B28"/>
  </mergeCells>
  <phoneticPr fontId="11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2022-04-08T17:29:14Z</dcterms:modified>
</cp:coreProperties>
</file>